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DCFs\"/>
    </mc:Choice>
  </mc:AlternateContent>
  <xr:revisionPtr revIDLastSave="0" documentId="13_ncr:1_{0FAAD6A6-F115-4AD8-B7C9-E90FA7BCBE58}" xr6:coauthVersionLast="47" xr6:coauthVersionMax="47" xr10:uidLastSave="{00000000-0000-0000-0000-000000000000}"/>
  <bookViews>
    <workbookView xWindow="-90" yWindow="-90" windowWidth="19380" windowHeight="10260" xr2:uid="{824024D9-FD07-4B45-8031-05789593C045}"/>
  </bookViews>
  <sheets>
    <sheet name="DCF" sheetId="1" r:id="rId1"/>
    <sheet name="WACC" sheetId="6" r:id="rId2"/>
    <sheet name="Balance sheet" sheetId="3" r:id="rId3"/>
    <sheet name="Predictions" sheetId="5" r:id="rId4"/>
    <sheet name="IS" sheetId="2" r:id="rId5"/>
    <sheet name="Cashflow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" l="1"/>
  <c r="S79" i="1"/>
  <c r="S78" i="1"/>
  <c r="Q40" i="1"/>
  <c r="R40" i="1" s="1"/>
  <c r="S40" i="1" s="1"/>
  <c r="P40" i="1"/>
  <c r="D17" i="1"/>
  <c r="Q14" i="1"/>
  <c r="I14" i="1"/>
  <c r="D16" i="1" s="1"/>
  <c r="C21" i="6"/>
  <c r="C14" i="6"/>
  <c r="C8" i="6"/>
  <c r="C13" i="6"/>
  <c r="C19" i="6"/>
  <c r="C12" i="6"/>
  <c r="C7" i="6"/>
  <c r="N34" i="1" l="1"/>
  <c r="M34" i="1"/>
  <c r="L34" i="1"/>
  <c r="K34" i="1"/>
  <c r="J34" i="1"/>
  <c r="I34" i="1"/>
  <c r="H34" i="1"/>
  <c r="G34" i="1"/>
  <c r="F34" i="1"/>
  <c r="E34" i="1"/>
  <c r="D34" i="1"/>
  <c r="D65" i="1" s="1"/>
  <c r="N65" i="1"/>
  <c r="M65" i="1"/>
  <c r="L65" i="1"/>
  <c r="K65" i="1"/>
  <c r="J65" i="1"/>
  <c r="I65" i="1"/>
  <c r="H65" i="1"/>
  <c r="G65" i="1"/>
  <c r="F65" i="1"/>
  <c r="E65" i="1"/>
  <c r="O56" i="1"/>
  <c r="S57" i="1"/>
  <c r="O55" i="1" l="1"/>
  <c r="S56" i="1"/>
  <c r="O44" i="1"/>
  <c r="S44" i="1"/>
  <c r="D30" i="1"/>
  <c r="D41" i="1" s="1"/>
  <c r="D44" i="1"/>
  <c r="O46" i="1"/>
  <c r="S20" i="1"/>
  <c r="R20" i="1"/>
  <c r="Q20" i="1"/>
  <c r="Q46" i="1" s="1"/>
  <c r="P20" i="1"/>
  <c r="O20" i="1"/>
  <c r="I26" i="1"/>
  <c r="I55" i="1" s="1"/>
  <c r="N37" i="1"/>
  <c r="N68" i="1" s="1"/>
  <c r="M37" i="1"/>
  <c r="M68" i="1" s="1"/>
  <c r="L37" i="1"/>
  <c r="L68" i="1" s="1"/>
  <c r="K37" i="1"/>
  <c r="K68" i="1" s="1"/>
  <c r="J37" i="1"/>
  <c r="J68" i="1" s="1"/>
  <c r="I37" i="1"/>
  <c r="I68" i="1" s="1"/>
  <c r="H37" i="1"/>
  <c r="H68" i="1" s="1"/>
  <c r="G37" i="1"/>
  <c r="G68" i="1" s="1"/>
  <c r="F37" i="1"/>
  <c r="F68" i="1" s="1"/>
  <c r="E37" i="1"/>
  <c r="E68" i="1" s="1"/>
  <c r="D37" i="1"/>
  <c r="D68" i="1" s="1"/>
  <c r="N31" i="1"/>
  <c r="N62" i="1" s="1"/>
  <c r="M31" i="1"/>
  <c r="M62" i="1" s="1"/>
  <c r="L31" i="1"/>
  <c r="L62" i="1" s="1"/>
  <c r="K31" i="1"/>
  <c r="K62" i="1" s="1"/>
  <c r="J31" i="1"/>
  <c r="J62" i="1" s="1"/>
  <c r="I31" i="1"/>
  <c r="I62" i="1" s="1"/>
  <c r="H31" i="1"/>
  <c r="H62" i="1" s="1"/>
  <c r="G31" i="1"/>
  <c r="G62" i="1" s="1"/>
  <c r="F31" i="1"/>
  <c r="F62" i="1" s="1"/>
  <c r="E31" i="1"/>
  <c r="E62" i="1" s="1"/>
  <c r="D31" i="1"/>
  <c r="D62" i="1" s="1"/>
  <c r="N26" i="1"/>
  <c r="N55" i="1" s="1"/>
  <c r="M26" i="1"/>
  <c r="M55" i="1" s="1"/>
  <c r="L26" i="1"/>
  <c r="L55" i="1" s="1"/>
  <c r="K26" i="1"/>
  <c r="K55" i="1" s="1"/>
  <c r="J26" i="1"/>
  <c r="J55" i="1" s="1"/>
  <c r="H26" i="1"/>
  <c r="H55" i="1" s="1"/>
  <c r="G26" i="1"/>
  <c r="G55" i="1" s="1"/>
  <c r="F26" i="1"/>
  <c r="F55" i="1" s="1"/>
  <c r="E26" i="1"/>
  <c r="E55" i="1" s="1"/>
  <c r="D26" i="1"/>
  <c r="D55" i="1" s="1"/>
  <c r="N23" i="1"/>
  <c r="N49" i="1" s="1"/>
  <c r="N60" i="1" s="1"/>
  <c r="N71" i="1" s="1"/>
  <c r="M23" i="1"/>
  <c r="M49" i="1" s="1"/>
  <c r="L23" i="1"/>
  <c r="L49" i="1" s="1"/>
  <c r="K23" i="1"/>
  <c r="K49" i="1" s="1"/>
  <c r="J23" i="1"/>
  <c r="J49" i="1" s="1"/>
  <c r="I23" i="1"/>
  <c r="I49" i="1" s="1"/>
  <c r="H23" i="1"/>
  <c r="H49" i="1" s="1"/>
  <c r="G23" i="1"/>
  <c r="G49" i="1" s="1"/>
  <c r="F23" i="1"/>
  <c r="F49" i="1" s="1"/>
  <c r="E23" i="1"/>
  <c r="E49" i="1" s="1"/>
  <c r="D23" i="1"/>
  <c r="D49" i="1" s="1"/>
  <c r="N20" i="1"/>
  <c r="N43" i="1" s="1"/>
  <c r="O43" i="1" s="1"/>
  <c r="M20" i="1"/>
  <c r="M43" i="1" s="1"/>
  <c r="M66" i="1" s="1"/>
  <c r="L20" i="1"/>
  <c r="L43" i="1" s="1"/>
  <c r="L66" i="1" s="1"/>
  <c r="K20" i="1"/>
  <c r="K43" i="1" s="1"/>
  <c r="K66" i="1" s="1"/>
  <c r="J20" i="1"/>
  <c r="J43" i="1" s="1"/>
  <c r="J66" i="1" s="1"/>
  <c r="I20" i="1"/>
  <c r="I43" i="1" s="1"/>
  <c r="I66" i="1" s="1"/>
  <c r="H20" i="1"/>
  <c r="H43" i="1" s="1"/>
  <c r="H66" i="1" s="1"/>
  <c r="G20" i="1"/>
  <c r="G43" i="1" s="1"/>
  <c r="G66" i="1" s="1"/>
  <c r="F20" i="1"/>
  <c r="F43" i="1" s="1"/>
  <c r="F66" i="1" s="1"/>
  <c r="E20" i="1"/>
  <c r="E43" i="1" s="1"/>
  <c r="E66" i="1" s="1"/>
  <c r="D20" i="1"/>
  <c r="D43" i="1" s="1"/>
  <c r="D66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S30" i="1" s="1"/>
  <c r="S41" i="1" s="1"/>
  <c r="G63" i="1" l="1"/>
  <c r="H63" i="1"/>
  <c r="I63" i="1"/>
  <c r="J63" i="1"/>
  <c r="K63" i="1"/>
  <c r="O63" i="1" s="1"/>
  <c r="O62" i="1" s="1"/>
  <c r="D63" i="1"/>
  <c r="L63" i="1"/>
  <c r="N66" i="1"/>
  <c r="O66" i="1" s="1"/>
  <c r="O65" i="1" s="1"/>
  <c r="E63" i="1"/>
  <c r="M63" i="1"/>
  <c r="F63" i="1"/>
  <c r="N63" i="1"/>
  <c r="S21" i="1"/>
  <c r="Q47" i="1"/>
  <c r="Q45" i="1"/>
  <c r="R46" i="1"/>
  <c r="Q44" i="1"/>
  <c r="P46" i="1"/>
  <c r="H30" i="1"/>
  <c r="H41" i="1" s="1"/>
  <c r="P30" i="1"/>
  <c r="P41" i="1" s="1"/>
  <c r="I30" i="1"/>
  <c r="I41" i="1" s="1"/>
  <c r="Q30" i="1"/>
  <c r="Q41" i="1" s="1"/>
  <c r="G30" i="1"/>
  <c r="G41" i="1" s="1"/>
  <c r="R30" i="1"/>
  <c r="R41" i="1" s="1"/>
  <c r="K30" i="1"/>
  <c r="K41" i="1" s="1"/>
  <c r="O30" i="1"/>
  <c r="O41" i="1" s="1"/>
  <c r="P57" i="1" s="1"/>
  <c r="J30" i="1"/>
  <c r="J41" i="1" s="1"/>
  <c r="L30" i="1"/>
  <c r="L41" i="1" s="1"/>
  <c r="E30" i="1"/>
  <c r="E41" i="1" s="1"/>
  <c r="M30" i="1"/>
  <c r="M41" i="1" s="1"/>
  <c r="F30" i="1"/>
  <c r="F41" i="1" s="1"/>
  <c r="N30" i="1"/>
  <c r="N41" i="1" s="1"/>
  <c r="K38" i="1"/>
  <c r="K69" i="1" s="1"/>
  <c r="M27" i="1"/>
  <c r="M56" i="1" s="1"/>
  <c r="E24" i="1"/>
  <c r="E50" i="1" s="1"/>
  <c r="H32" i="1"/>
  <c r="J38" i="1"/>
  <c r="J69" i="1" s="1"/>
  <c r="G27" i="1"/>
  <c r="G56" i="1" s="1"/>
  <c r="G38" i="1"/>
  <c r="G69" i="1" s="1"/>
  <c r="G21" i="1"/>
  <c r="G44" i="1" s="1"/>
  <c r="H21" i="1"/>
  <c r="H44" i="1" s="1"/>
  <c r="G32" i="1"/>
  <c r="I38" i="1"/>
  <c r="I69" i="1" s="1"/>
  <c r="K35" i="1"/>
  <c r="H24" i="1"/>
  <c r="H50" i="1" s="1"/>
  <c r="E27" i="1"/>
  <c r="E56" i="1" s="1"/>
  <c r="N27" i="1"/>
  <c r="N56" i="1" s="1"/>
  <c r="J32" i="1"/>
  <c r="J21" i="1"/>
  <c r="J44" i="1" s="1"/>
  <c r="L21" i="1"/>
  <c r="L44" i="1" s="1"/>
  <c r="I27" i="1"/>
  <c r="I56" i="1" s="1"/>
  <c r="F27" i="1"/>
  <c r="F56" i="1" s="1"/>
  <c r="M35" i="1"/>
  <c r="J24" i="1"/>
  <c r="J50" i="1" s="1"/>
  <c r="H27" i="1"/>
  <c r="H56" i="1" s="1"/>
  <c r="G35" i="1"/>
  <c r="D38" i="1"/>
  <c r="D69" i="1" s="1"/>
  <c r="L38" i="1"/>
  <c r="L69" i="1" s="1"/>
  <c r="D35" i="1"/>
  <c r="D24" i="1"/>
  <c r="D50" i="1" s="1"/>
  <c r="L24" i="1"/>
  <c r="L50" i="1" s="1"/>
  <c r="J27" i="1"/>
  <c r="J56" i="1" s="1"/>
  <c r="D32" i="1"/>
  <c r="L32" i="1"/>
  <c r="H35" i="1"/>
  <c r="M38" i="1"/>
  <c r="M69" i="1" s="1"/>
  <c r="L35" i="1"/>
  <c r="N21" i="1"/>
  <c r="N44" i="1" s="1"/>
  <c r="N35" i="1"/>
  <c r="I21" i="1"/>
  <c r="I44" i="1" s="1"/>
  <c r="K27" i="1"/>
  <c r="K56" i="1" s="1"/>
  <c r="E32" i="1"/>
  <c r="M32" i="1"/>
  <c r="F38" i="1"/>
  <c r="F69" i="1" s="1"/>
  <c r="N38" i="1"/>
  <c r="N69" i="1" s="1"/>
  <c r="F24" i="1"/>
  <c r="F50" i="1" s="1"/>
  <c r="N24" i="1"/>
  <c r="L27" i="1"/>
  <c r="L56" i="1" s="1"/>
  <c r="F32" i="1"/>
  <c r="N32" i="1"/>
  <c r="O32" i="1" s="1"/>
  <c r="P32" i="1" s="1"/>
  <c r="P31" i="1" s="1"/>
  <c r="J35" i="1"/>
  <c r="F21" i="1"/>
  <c r="F44" i="1" s="1"/>
  <c r="F35" i="1"/>
  <c r="G24" i="1"/>
  <c r="G50" i="1" s="1"/>
  <c r="H38" i="1"/>
  <c r="H69" i="1" s="1"/>
  <c r="I24" i="1"/>
  <c r="I50" i="1" s="1"/>
  <c r="K24" i="1"/>
  <c r="K50" i="1" s="1"/>
  <c r="K21" i="1"/>
  <c r="K44" i="1" s="1"/>
  <c r="M24" i="1"/>
  <c r="M50" i="1" s="1"/>
  <c r="K32" i="1"/>
  <c r="E35" i="1"/>
  <c r="E21" i="1"/>
  <c r="E44" i="1" s="1"/>
  <c r="M21" i="1"/>
  <c r="M44" i="1" s="1"/>
  <c r="I35" i="1"/>
  <c r="D27" i="1"/>
  <c r="D56" i="1" s="1"/>
  <c r="I32" i="1"/>
  <c r="E38" i="1"/>
  <c r="E69" i="1" s="1"/>
  <c r="Q57" i="1" l="1"/>
  <c r="P56" i="1"/>
  <c r="P55" i="1" s="1"/>
  <c r="P63" i="1"/>
  <c r="Q63" i="1" s="1"/>
  <c r="P66" i="1"/>
  <c r="O69" i="1"/>
  <c r="O68" i="1" s="1"/>
  <c r="P45" i="1"/>
  <c r="P47" i="1"/>
  <c r="P44" i="1" s="1"/>
  <c r="P43" i="1" s="1"/>
  <c r="R47" i="1"/>
  <c r="R44" i="1" s="1"/>
  <c r="R45" i="1"/>
  <c r="O24" i="1"/>
  <c r="O52" i="1" s="1"/>
  <c r="N50" i="1"/>
  <c r="Q32" i="1"/>
  <c r="R32" i="1" s="1"/>
  <c r="O35" i="1"/>
  <c r="O34" i="1" s="1"/>
  <c r="O38" i="1"/>
  <c r="O37" i="1" s="1"/>
  <c r="O27" i="1"/>
  <c r="O31" i="1"/>
  <c r="P69" i="1" l="1"/>
  <c r="Q66" i="1"/>
  <c r="R66" i="1" s="1"/>
  <c r="S66" i="1"/>
  <c r="Q69" i="1"/>
  <c r="R69" i="1" s="1"/>
  <c r="R63" i="1"/>
  <c r="S63" i="1" s="1"/>
  <c r="Q56" i="1"/>
  <c r="Q55" i="1" s="1"/>
  <c r="R57" i="1"/>
  <c r="R56" i="1" s="1"/>
  <c r="P68" i="1"/>
  <c r="P62" i="1"/>
  <c r="Q43" i="1"/>
  <c r="Q62" i="1" s="1"/>
  <c r="P65" i="1"/>
  <c r="O23" i="1"/>
  <c r="P24" i="1"/>
  <c r="P52" i="1" s="1"/>
  <c r="O53" i="1"/>
  <c r="O50" i="1" s="1"/>
  <c r="O49" i="1" s="1"/>
  <c r="O60" i="1" s="1"/>
  <c r="O71" i="1" s="1"/>
  <c r="O72" i="1" s="1"/>
  <c r="O51" i="1"/>
  <c r="P35" i="1"/>
  <c r="P34" i="1" s="1"/>
  <c r="Q31" i="1"/>
  <c r="P38" i="1"/>
  <c r="P27" i="1"/>
  <c r="O26" i="1"/>
  <c r="S32" i="1"/>
  <c r="S31" i="1" s="1"/>
  <c r="R31" i="1"/>
  <c r="R55" i="1" l="1"/>
  <c r="S55" i="1" s="1"/>
  <c r="S69" i="1"/>
  <c r="Q65" i="1"/>
  <c r="Q68" i="1"/>
  <c r="R43" i="1"/>
  <c r="P53" i="1"/>
  <c r="P50" i="1" s="1"/>
  <c r="P49" i="1" s="1"/>
  <c r="P60" i="1" s="1"/>
  <c r="P71" i="1" s="1"/>
  <c r="P72" i="1" s="1"/>
  <c r="P51" i="1"/>
  <c r="Q24" i="1"/>
  <c r="Q52" i="1" s="1"/>
  <c r="P23" i="1"/>
  <c r="P26" i="1" s="1"/>
  <c r="Q35" i="1"/>
  <c r="Q34" i="1" s="1"/>
  <c r="P37" i="1"/>
  <c r="R35" i="1"/>
  <c r="R34" i="1" s="1"/>
  <c r="Q27" i="1"/>
  <c r="Q38" i="1"/>
  <c r="Q37" i="1" s="1"/>
  <c r="R24" i="1"/>
  <c r="Q23" i="1" l="1"/>
  <c r="R68" i="1"/>
  <c r="R62" i="1"/>
  <c r="S43" i="1"/>
  <c r="R65" i="1"/>
  <c r="Q53" i="1"/>
  <c r="Q50" i="1" s="1"/>
  <c r="Q49" i="1" s="1"/>
  <c r="Q60" i="1" s="1"/>
  <c r="Q71" i="1" s="1"/>
  <c r="Q72" i="1" s="1"/>
  <c r="Q51" i="1"/>
  <c r="R52" i="1"/>
  <c r="S35" i="1"/>
  <c r="S34" i="1" s="1"/>
  <c r="R27" i="1"/>
  <c r="Q26" i="1"/>
  <c r="S24" i="1"/>
  <c r="S23" i="1" s="1"/>
  <c r="R23" i="1"/>
  <c r="R38" i="1"/>
  <c r="R37" i="1" s="1"/>
  <c r="S68" i="1" l="1"/>
  <c r="S62" i="1"/>
  <c r="M10" i="1"/>
  <c r="S65" i="1"/>
  <c r="R53" i="1"/>
  <c r="R50" i="1" s="1"/>
  <c r="R49" i="1" s="1"/>
  <c r="R60" i="1" s="1"/>
  <c r="R71" i="1" s="1"/>
  <c r="R72" i="1" s="1"/>
  <c r="R51" i="1"/>
  <c r="S52" i="1"/>
  <c r="S27" i="1"/>
  <c r="S26" i="1" s="1"/>
  <c r="R26" i="1"/>
  <c r="S38" i="1"/>
  <c r="S37" i="1" s="1"/>
  <c r="S53" i="1" l="1"/>
  <c r="S50" i="1" s="1"/>
  <c r="S49" i="1" s="1"/>
  <c r="S51" i="1"/>
  <c r="M11" i="1" l="1"/>
  <c r="S60" i="1"/>
  <c r="S71" i="1" s="1"/>
  <c r="S72" i="1" l="1"/>
  <c r="S75" i="1"/>
  <c r="S76" i="1" s="1"/>
  <c r="S77" i="1" l="1"/>
  <c r="S80" i="1" s="1"/>
  <c r="S83" i="1" s="1"/>
  <c r="G4" i="1" s="1"/>
</calcChain>
</file>

<file path=xl/sharedStrings.xml><?xml version="1.0" encoding="utf-8"?>
<sst xmlns="http://schemas.openxmlformats.org/spreadsheetml/2006/main" count="176" uniqueCount="137">
  <si>
    <t>Ticker</t>
  </si>
  <si>
    <t>Date</t>
  </si>
  <si>
    <t>Implied Shares</t>
  </si>
  <si>
    <t>Actual</t>
  </si>
  <si>
    <t>Assumptions</t>
  </si>
  <si>
    <t>Conservative</t>
  </si>
  <si>
    <t>Street Case</t>
  </si>
  <si>
    <t>Optimistic</t>
  </si>
  <si>
    <t>Income Statement</t>
  </si>
  <si>
    <t>Cashflow Statements</t>
  </si>
  <si>
    <t>DCF</t>
  </si>
  <si>
    <t xml:space="preserve">Revenue </t>
  </si>
  <si>
    <t>%growth</t>
  </si>
  <si>
    <t>EDBIT</t>
  </si>
  <si>
    <t>%sales</t>
  </si>
  <si>
    <t>Taxes</t>
  </si>
  <si>
    <t>%of EDBIT</t>
  </si>
  <si>
    <t>Steve Madden DCF</t>
  </si>
  <si>
    <t>SHOO</t>
  </si>
  <si>
    <t>D&amp;A</t>
  </si>
  <si>
    <t>%of sales</t>
  </si>
  <si>
    <t>Capex</t>
  </si>
  <si>
    <t>Change in WC</t>
  </si>
  <si>
    <t>x</t>
  </si>
  <si>
    <t>Annual Data</t>
  </si>
  <si>
    <t>Revenue</t>
  </si>
  <si>
    <t>Cost Of Goods Sold</t>
  </si>
  <si>
    <t>Operating Expenses</t>
  </si>
  <si>
    <t>Operating Income</t>
  </si>
  <si>
    <t>Total Non-Operating Income/Expense</t>
  </si>
  <si>
    <t>Pre-Tax Income</t>
  </si>
  <si>
    <t>Income Taxes</t>
  </si>
  <si>
    <t>Income After Taxes Other Income</t>
  </si>
  <si>
    <t>Net Income</t>
  </si>
  <si>
    <t>EBITDA</t>
  </si>
  <si>
    <t>Basic Shares Outstanding</t>
  </si>
  <si>
    <t>Shares Outstanding</t>
  </si>
  <si>
    <t>Basic EPS</t>
  </si>
  <si>
    <t>EPS - Earnings Per Share</t>
  </si>
  <si>
    <t>Income From Continuous Operations</t>
  </si>
  <si>
    <t xml:space="preserve"> Income From Discontinued Operations</t>
  </si>
  <si>
    <t>Gross Profit</t>
  </si>
  <si>
    <t xml:space="preserve"> Research And Development Expenses</t>
  </si>
  <si>
    <t xml:space="preserve">SG&amp;A Expenses </t>
  </si>
  <si>
    <t>Other Operating Income Or Expenses</t>
  </si>
  <si>
    <t>Cash On Hand</t>
  </si>
  <si>
    <t>Receivables</t>
  </si>
  <si>
    <t>Inventory</t>
  </si>
  <si>
    <t>Pre-Paid Expenses</t>
  </si>
  <si>
    <t>Other Current Assets Total Current Assets</t>
  </si>
  <si>
    <t>Property, Plant, And Equipment</t>
  </si>
  <si>
    <t>Long-Term Investments</t>
  </si>
  <si>
    <t>Goodwill And Intangible Assets</t>
  </si>
  <si>
    <t>Other Long-Term Assets</t>
  </si>
  <si>
    <t>Total Long-Term Assets</t>
  </si>
  <si>
    <t>Total Assets</t>
  </si>
  <si>
    <t>Total Current Liabilities</t>
  </si>
  <si>
    <t>Long Term Debt Other Non-Current Liabilities</t>
  </si>
  <si>
    <t>Total Long Term Liabilities</t>
  </si>
  <si>
    <t>Total Liabilities</t>
  </si>
  <si>
    <t>Common Stock Net</t>
  </si>
  <si>
    <t>Retained Earnings (Accumulated Deficit)</t>
  </si>
  <si>
    <t>Comprehensive Income</t>
  </si>
  <si>
    <t>Other Share Holders Equity</t>
  </si>
  <si>
    <t>Share Holder Equity</t>
  </si>
  <si>
    <t>Total Liabilities And Share Holders Equity</t>
  </si>
  <si>
    <t>Net Income/Loss</t>
  </si>
  <si>
    <t>Total Depreciation And Amortization - Cash Flow</t>
  </si>
  <si>
    <t>Other Non-Cash Items</t>
  </si>
  <si>
    <t>Total Non-Cash Items</t>
  </si>
  <si>
    <t>Change In Accounts Receivable</t>
  </si>
  <si>
    <t>Change In Inventories</t>
  </si>
  <si>
    <t>Change In Assets/Liabilities</t>
  </si>
  <si>
    <t>Total Change In Assets/Liabilities</t>
  </si>
  <si>
    <t>Cash Flow From Operating Activities</t>
  </si>
  <si>
    <t>Net Change In Property, Plant, And Equipment</t>
  </si>
  <si>
    <t>Net Change In Intangible Assets</t>
  </si>
  <si>
    <t>Net Acquisitions/Divestitu res</t>
  </si>
  <si>
    <t>Net Change In Short-term Investments</t>
  </si>
  <si>
    <t>$—4.604</t>
  </si>
  <si>
    <t>Net Change In Long-Term Investments Net Change In Investments - Total</t>
  </si>
  <si>
    <t>Investing Activities - Other</t>
  </si>
  <si>
    <t>Cash Flow From Investing Activities Net Long-Term Debt</t>
  </si>
  <si>
    <t>$—4.884</t>
  </si>
  <si>
    <t>Net Current Debt Debt Issuance/Retirement Net - Total Net Common Equity Issued/Repurchased</t>
  </si>
  <si>
    <t>Net Total Equity Issued/Repurchased</t>
  </si>
  <si>
    <t>Total Common And Preferred Stock Dividends Paid</t>
  </si>
  <si>
    <t>Financial Activities - Other</t>
  </si>
  <si>
    <t>Cash Flow From Financial Activities</t>
  </si>
  <si>
    <t>Net Cash Flow</t>
  </si>
  <si>
    <t>Stock-Based Compensation</t>
  </si>
  <si>
    <t>Common Stock Dividends Paid</t>
  </si>
  <si>
    <t>Switches</t>
  </si>
  <si>
    <t>Conservative Case</t>
  </si>
  <si>
    <t>Optimistic Case</t>
  </si>
  <si>
    <t>Revenue Growth</t>
  </si>
  <si>
    <t>EBIT Margin</t>
  </si>
  <si>
    <t>WACC</t>
  </si>
  <si>
    <t>TGR</t>
  </si>
  <si>
    <t>Valuation Assumptions</t>
  </si>
  <si>
    <t>Year</t>
  </si>
  <si>
    <t>Reve n u e</t>
  </si>
  <si>
    <t>EPS</t>
  </si>
  <si>
    <t>EPS Growth</t>
  </si>
  <si>
    <t>10.590/0</t>
  </si>
  <si>
    <t>No. Analysts</t>
  </si>
  <si>
    <t>% of growth</t>
  </si>
  <si>
    <t>EBIT</t>
  </si>
  <si>
    <t>% of EBIT</t>
  </si>
  <si>
    <t>Revenue 2028</t>
  </si>
  <si>
    <t>Street / Base</t>
  </si>
  <si>
    <t>Revenue '24-'25</t>
  </si>
  <si>
    <t>EBIT '24-'25</t>
  </si>
  <si>
    <t>EBITA</t>
  </si>
  <si>
    <t xml:space="preserve">Unlevered Cash Flow  </t>
  </si>
  <si>
    <t>Present Cash Flow</t>
  </si>
  <si>
    <t>WACC =  (% Equity x Cost of Equity) + (% Debt x Cost of Debt x (1 -Tax rate))</t>
  </si>
  <si>
    <t>Cost of Equity = Risk Free Rate + (Beta x (Expected Market Return - Risk Free Rate))</t>
  </si>
  <si>
    <t>Debt</t>
  </si>
  <si>
    <t>% Debt</t>
  </si>
  <si>
    <t>Cost of Debt</t>
  </si>
  <si>
    <t>Tax Rate</t>
  </si>
  <si>
    <t>Equity Value</t>
  </si>
  <si>
    <t>% Equity</t>
  </si>
  <si>
    <t>Cost of Equity</t>
  </si>
  <si>
    <t>Risk Free Rate</t>
  </si>
  <si>
    <t>Beta</t>
  </si>
  <si>
    <t>Market Risk Premium</t>
  </si>
  <si>
    <t>Debt + Equity</t>
  </si>
  <si>
    <t>Terminal Value</t>
  </si>
  <si>
    <t>present value of TV</t>
  </si>
  <si>
    <t>Enterprise value</t>
  </si>
  <si>
    <t>(+) cash</t>
  </si>
  <si>
    <t>(-) debt</t>
  </si>
  <si>
    <t>Equity value</t>
  </si>
  <si>
    <t>implied share price</t>
  </si>
  <si>
    <t>shares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</si>
</sst>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9" tint="0.3999755851924192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rgb="FF7030A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5" fillId="0" borderId="1" xfId="0" applyFont="1" applyBorder="1"/>
    <xf numFmtId="0" fontId="4" fillId="0" borderId="0" xfId="0" applyFont="1"/>
    <xf numFmtId="0" fontId="0" fillId="0" borderId="3" xfId="0" applyBorder="1"/>
    <xf numFmtId="0" fontId="4" fillId="0" borderId="3" xfId="0" applyFont="1" applyBorder="1"/>
    <xf numFmtId="0" fontId="0" fillId="3" borderId="5" xfId="0" applyFill="1" applyBorder="1"/>
    <xf numFmtId="0" fontId="0" fillId="3" borderId="6" xfId="0" applyFill="1" applyBorder="1"/>
    <xf numFmtId="0" fontId="2" fillId="3" borderId="5" xfId="0" applyFont="1" applyFill="1" applyBorder="1"/>
    <xf numFmtId="0" fontId="0" fillId="2" borderId="2" xfId="0" applyFill="1" applyBorder="1"/>
    <xf numFmtId="14" fontId="0" fillId="2" borderId="2" xfId="0" applyNumberFormat="1" applyFill="1" applyBorder="1"/>
    <xf numFmtId="8" fontId="0" fillId="2" borderId="2" xfId="0" applyNumberFormat="1" applyFill="1" applyBorder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4" borderId="0" xfId="0" applyFill="1"/>
    <xf numFmtId="14" fontId="0" fillId="4" borderId="0" xfId="0" applyNumberFormat="1" applyFill="1"/>
    <xf numFmtId="164" fontId="0" fillId="0" borderId="0" xfId="1" applyNumberFormat="1" applyFont="1"/>
    <xf numFmtId="164" fontId="7" fillId="0" borderId="0" xfId="1" applyNumberFormat="1" applyFont="1"/>
    <xf numFmtId="0" fontId="0" fillId="0" borderId="7" xfId="0" applyBorder="1"/>
    <xf numFmtId="0" fontId="0" fillId="0" borderId="8" xfId="0" applyBorder="1"/>
    <xf numFmtId="0" fontId="2" fillId="3" borderId="7" xfId="0" applyFont="1" applyFill="1" applyBorder="1"/>
    <xf numFmtId="164" fontId="7" fillId="0" borderId="7" xfId="1" applyNumberFormat="1" applyFont="1" applyBorder="1"/>
    <xf numFmtId="10" fontId="0" fillId="0" borderId="7" xfId="0" applyNumberFormat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vertical="center"/>
    </xf>
    <xf numFmtId="9" fontId="0" fillId="0" borderId="0" xfId="0" applyNumberFormat="1"/>
    <xf numFmtId="44" fontId="0" fillId="0" borderId="0" xfId="2" applyFont="1"/>
    <xf numFmtId="10" fontId="0" fillId="0" borderId="0" xfId="0" quotePrefix="1" applyNumberFormat="1"/>
    <xf numFmtId="164" fontId="12" fillId="0" borderId="0" xfId="0" applyNumberFormat="1" applyFont="1"/>
    <xf numFmtId="0" fontId="9" fillId="6" borderId="0" xfId="0" applyFont="1" applyFill="1" applyAlignment="1">
      <alignment horizontal="center" wrapText="1"/>
    </xf>
    <xf numFmtId="9" fontId="9" fillId="6" borderId="2" xfId="0" applyNumberFormat="1" applyFont="1" applyFill="1" applyBorder="1" applyAlignment="1">
      <alignment horizontal="center" wrapText="1"/>
    </xf>
    <xf numFmtId="9" fontId="12" fillId="6" borderId="2" xfId="0" applyNumberFormat="1" applyFont="1" applyFill="1" applyBorder="1" applyAlignment="1">
      <alignment horizontal="center" wrapText="1"/>
    </xf>
    <xf numFmtId="9" fontId="9" fillId="6" borderId="15" xfId="0" applyNumberFormat="1" applyFont="1" applyFill="1" applyBorder="1" applyAlignment="1">
      <alignment horizontal="center" wrapText="1"/>
    </xf>
    <xf numFmtId="9" fontId="9" fillId="6" borderId="11" xfId="0" applyNumberFormat="1" applyFont="1" applyFill="1" applyBorder="1" applyAlignment="1">
      <alignment horizontal="center" wrapText="1"/>
    </xf>
    <xf numFmtId="9" fontId="9" fillId="6" borderId="18" xfId="0" applyNumberFormat="1" applyFont="1" applyFill="1" applyBorder="1" applyAlignment="1">
      <alignment horizontal="center" wrapText="1"/>
    </xf>
    <xf numFmtId="9" fontId="9" fillId="6" borderId="16" xfId="0" applyNumberFormat="1" applyFont="1" applyFill="1" applyBorder="1" applyAlignment="1">
      <alignment horizontal="center" wrapText="1"/>
    </xf>
    <xf numFmtId="9" fontId="9" fillId="6" borderId="14" xfId="0" applyNumberFormat="1" applyFont="1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/>
    </xf>
    <xf numFmtId="10" fontId="0" fillId="7" borderId="2" xfId="0" applyNumberFormat="1" applyFill="1" applyBorder="1" applyAlignment="1">
      <alignment horizontal="center"/>
    </xf>
    <xf numFmtId="164" fontId="0" fillId="7" borderId="2" xfId="1" applyNumberFormat="1" applyFont="1" applyFill="1" applyBorder="1" applyAlignment="1">
      <alignment horizontal="center"/>
    </xf>
    <xf numFmtId="0" fontId="0" fillId="0" borderId="19" xfId="0" applyBorder="1"/>
    <xf numFmtId="0" fontId="0" fillId="0" borderId="17" xfId="0" applyBorder="1"/>
    <xf numFmtId="164" fontId="12" fillId="0" borderId="0" xfId="1" applyNumberFormat="1" applyFont="1"/>
    <xf numFmtId="0" fontId="4" fillId="0" borderId="19" xfId="0" applyFont="1" applyBorder="1"/>
    <xf numFmtId="0" fontId="4" fillId="0" borderId="17" xfId="0" applyFont="1" applyBorder="1"/>
    <xf numFmtId="0" fontId="4" fillId="0" borderId="20" xfId="0" applyFont="1" applyBorder="1"/>
    <xf numFmtId="43" fontId="4" fillId="0" borderId="17" xfId="0" applyNumberFormat="1" applyFont="1" applyBorder="1"/>
    <xf numFmtId="164" fontId="4" fillId="0" borderId="19" xfId="1" applyNumberFormat="1" applyFont="1" applyBorder="1"/>
    <xf numFmtId="164" fontId="4" fillId="0" borderId="17" xfId="1" applyNumberFormat="1" applyFont="1" applyBorder="1"/>
    <xf numFmtId="164" fontId="4" fillId="0" borderId="20" xfId="1" applyNumberFormat="1" applyFont="1" applyBorder="1"/>
    <xf numFmtId="0" fontId="13" fillId="0" borderId="1" xfId="0" applyFont="1" applyBorder="1"/>
    <xf numFmtId="0" fontId="2" fillId="8" borderId="0" xfId="0" applyFont="1" applyFill="1"/>
    <xf numFmtId="0" fontId="0" fillId="8" borderId="0" xfId="0" applyFill="1"/>
    <xf numFmtId="0" fontId="4" fillId="9" borderId="4" xfId="0" applyFont="1" applyFill="1" applyBorder="1"/>
    <xf numFmtId="0" fontId="0" fillId="9" borderId="5" xfId="0" applyFill="1" applyBorder="1"/>
    <xf numFmtId="2" fontId="0" fillId="7" borderId="21" xfId="0" applyNumberFormat="1" applyFill="1" applyBorder="1" applyAlignment="1">
      <alignment horizontal="right"/>
    </xf>
    <xf numFmtId="2" fontId="4" fillId="9" borderId="6" xfId="0" applyNumberFormat="1" applyFont="1" applyFill="1" applyBorder="1"/>
    <xf numFmtId="166" fontId="0" fillId="7" borderId="21" xfId="0" applyNumberFormat="1" applyFill="1" applyBorder="1" applyAlignment="1">
      <alignment horizontal="right"/>
    </xf>
    <xf numFmtId="1" fontId="0" fillId="0" borderId="1" xfId="0" applyNumberFormat="1" applyBorder="1"/>
    <xf numFmtId="1" fontId="0" fillId="0" borderId="0" xfId="0" applyNumberFormat="1"/>
    <xf numFmtId="1" fontId="0" fillId="8" borderId="0" xfId="0" applyNumberFormat="1" applyFill="1"/>
    <xf numFmtId="1" fontId="0" fillId="7" borderId="21" xfId="0" applyNumberFormat="1" applyFill="1" applyBorder="1" applyAlignment="1">
      <alignment horizontal="right"/>
    </xf>
    <xf numFmtId="9" fontId="0" fillId="7" borderId="21" xfId="1" applyNumberFormat="1" applyFont="1" applyFill="1" applyBorder="1" applyAlignment="1">
      <alignment horizontal="right"/>
    </xf>
    <xf numFmtId="9" fontId="0" fillId="7" borderId="21" xfId="0" applyNumberFormat="1" applyFill="1" applyBorder="1" applyAlignment="1">
      <alignment horizontal="right"/>
    </xf>
    <xf numFmtId="0" fontId="4" fillId="0" borderId="2" xfId="0" applyFont="1" applyBorder="1"/>
    <xf numFmtId="43" fontId="0" fillId="0" borderId="18" xfId="0" applyNumberFormat="1" applyBorder="1"/>
    <xf numFmtId="0" fontId="0" fillId="0" borderId="10" xfId="0" applyBorder="1"/>
    <xf numFmtId="0" fontId="0" fillId="0" borderId="11" xfId="0" applyBorder="1"/>
    <xf numFmtId="43" fontId="0" fillId="0" borderId="14" xfId="0" applyNumberFormat="1" applyBorder="1"/>
    <xf numFmtId="1" fontId="0" fillId="2" borderId="2" xfId="0" applyNumberFormat="1" applyFill="1" applyBorder="1"/>
    <xf numFmtId="10" fontId="0" fillId="2" borderId="2" xfId="0" applyNumberFormat="1" applyFill="1" applyBorder="1"/>
    <xf numFmtId="0" fontId="0" fillId="0" borderId="9" xfId="0" applyBorder="1"/>
    <xf numFmtId="0" fontId="0" fillId="0" borderId="10" xfId="0" applyBorder="1" applyAlignment="1">
      <alignment vertical="top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13" xfId="0" applyBorder="1"/>
    <xf numFmtId="0" fontId="0" fillId="3" borderId="25" xfId="0" applyFill="1" applyBorder="1"/>
    <xf numFmtId="0" fontId="0" fillId="3" borderId="26" xfId="0" applyFill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/>
    <xf numFmtId="10" fontId="9" fillId="6" borderId="0" xfId="0" applyNumberFormat="1" applyFont="1" applyFill="1" applyAlignment="1">
      <alignment wrapText="1"/>
    </xf>
    <xf numFmtId="0" fontId="2" fillId="3" borderId="12" xfId="0" applyFont="1" applyFill="1" applyBorder="1"/>
    <xf numFmtId="0" fontId="2" fillId="3" borderId="0" xfId="0" applyFont="1" applyFill="1"/>
    <xf numFmtId="0" fontId="2" fillId="3" borderId="13" xfId="0" applyFont="1" applyFill="1" applyBorder="1"/>
    <xf numFmtId="164" fontId="7" fillId="0" borderId="12" xfId="1" applyNumberFormat="1" applyFont="1" applyBorder="1"/>
    <xf numFmtId="164" fontId="7" fillId="0" borderId="0" xfId="1" applyNumberFormat="1" applyFont="1" applyBorder="1"/>
    <xf numFmtId="164" fontId="3" fillId="0" borderId="0" xfId="1" applyNumberFormat="1" applyFont="1" applyBorder="1"/>
    <xf numFmtId="164" fontId="7" fillId="0" borderId="13" xfId="1" applyNumberFormat="1" applyFont="1" applyBorder="1"/>
    <xf numFmtId="9" fontId="0" fillId="0" borderId="12" xfId="0" applyNumberFormat="1" applyBorder="1"/>
    <xf numFmtId="9" fontId="6" fillId="0" borderId="0" xfId="0" applyNumberFormat="1" applyFont="1"/>
    <xf numFmtId="9" fontId="7" fillId="0" borderId="0" xfId="1" applyNumberFormat="1" applyFont="1" applyBorder="1"/>
    <xf numFmtId="9" fontId="0" fillId="0" borderId="13" xfId="0" applyNumberFormat="1" applyBorder="1"/>
    <xf numFmtId="164" fontId="0" fillId="0" borderId="12" xfId="1" applyNumberFormat="1" applyFont="1" applyBorder="1"/>
    <xf numFmtId="164" fontId="0" fillId="0" borderId="0" xfId="1" applyNumberFormat="1" applyFont="1" applyBorder="1"/>
    <xf numFmtId="164" fontId="0" fillId="0" borderId="13" xfId="1" applyNumberFormat="1" applyFont="1" applyBorder="1"/>
    <xf numFmtId="0" fontId="0" fillId="3" borderId="13" xfId="0" applyFill="1" applyBorder="1"/>
    <xf numFmtId="164" fontId="0" fillId="0" borderId="0" xfId="0" applyNumberForma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3" fontId="0" fillId="0" borderId="0" xfId="0" applyNumberFormat="1"/>
    <xf numFmtId="164" fontId="4" fillId="0" borderId="18" xfId="1" applyNumberFormat="1" applyFont="1" applyBorder="1"/>
    <xf numFmtId="164" fontId="12" fillId="0" borderId="12" xfId="0" applyNumberFormat="1" applyFont="1" applyBorder="1"/>
    <xf numFmtId="164" fontId="12" fillId="0" borderId="0" xfId="1" applyNumberFormat="1" applyFont="1" applyBorder="1"/>
    <xf numFmtId="164" fontId="12" fillId="0" borderId="13" xfId="0" applyNumberFormat="1" applyFont="1" applyBorder="1"/>
    <xf numFmtId="164" fontId="12" fillId="0" borderId="12" xfId="1" applyNumberFormat="1" applyFont="1" applyBorder="1"/>
    <xf numFmtId="164" fontId="12" fillId="0" borderId="13" xfId="1" applyNumberFormat="1" applyFont="1" applyBorder="1"/>
    <xf numFmtId="0" fontId="4" fillId="0" borderId="18" xfId="0" applyFont="1" applyBorder="1"/>
    <xf numFmtId="2" fontId="0" fillId="0" borderId="0" xfId="0" applyNumberFormat="1"/>
    <xf numFmtId="0" fontId="4" fillId="0" borderId="27" xfId="0" applyFont="1" applyBorder="1"/>
    <xf numFmtId="0" fontId="4" fillId="0" borderId="14" xfId="0" applyFont="1" applyBorder="1"/>
    <xf numFmtId="1" fontId="4" fillId="0" borderId="3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DEFE-08FB-4687-A2C8-F00D00415675}">
  <dimension ref="A1:T83"/>
  <sheetViews>
    <sheetView showGridLines="0" tabSelected="1" zoomScale="64" workbookViewId="0">
      <selection activeCell="J5" sqref="J5"/>
    </sheetView>
  </sheetViews>
  <sheetFormatPr defaultRowHeight="14.75" x14ac:dyDescent="0.75"/>
  <cols>
    <col min="2" max="2" width="28.08984375" customWidth="1"/>
    <col min="4" max="5" width="9.26953125" bestFit="1" customWidth="1"/>
    <col min="6" max="6" width="12.90625" bestFit="1" customWidth="1"/>
    <col min="7" max="7" width="9.26953125" bestFit="1" customWidth="1"/>
    <col min="8" max="8" width="15.2265625" bestFit="1" customWidth="1"/>
    <col min="9" max="9" width="10.26953125" bestFit="1" customWidth="1"/>
    <col min="10" max="12" width="9.26953125" bestFit="1" customWidth="1"/>
    <col min="13" max="13" width="10.04296875" bestFit="1" customWidth="1"/>
    <col min="14" max="14" width="9.6328125" style="19" bestFit="1" customWidth="1"/>
    <col min="15" max="18" width="10" bestFit="1" customWidth="1"/>
    <col min="19" max="19" width="14.5" bestFit="1" customWidth="1"/>
  </cols>
  <sheetData>
    <row r="1" spans="1:20" x14ac:dyDescent="0.75">
      <c r="A1" s="73"/>
      <c r="B1" s="68"/>
      <c r="C1" s="68"/>
      <c r="D1" s="74"/>
      <c r="E1" s="68"/>
      <c r="F1" s="68"/>
      <c r="G1" s="68"/>
      <c r="H1" s="68"/>
      <c r="I1" s="68"/>
      <c r="J1" s="68"/>
      <c r="K1" s="68"/>
      <c r="L1" s="68"/>
      <c r="M1" s="68"/>
      <c r="N1" s="75"/>
      <c r="O1" s="68"/>
      <c r="P1" s="68"/>
      <c r="Q1" s="68"/>
      <c r="R1" s="68"/>
      <c r="S1" s="68"/>
      <c r="T1" s="69"/>
    </row>
    <row r="2" spans="1:20" x14ac:dyDescent="0.75">
      <c r="A2" s="76" t="s">
        <v>23</v>
      </c>
      <c r="B2" s="2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0"/>
      <c r="O2" s="1"/>
      <c r="P2" s="1"/>
      <c r="Q2" s="1"/>
      <c r="R2" s="1"/>
      <c r="S2" s="1"/>
      <c r="T2" s="77"/>
    </row>
    <row r="3" spans="1:20" x14ac:dyDescent="0.75">
      <c r="A3" s="78"/>
      <c r="T3" s="79"/>
    </row>
    <row r="4" spans="1:20" x14ac:dyDescent="0.75">
      <c r="A4" s="78"/>
      <c r="B4" t="s">
        <v>0</v>
      </c>
      <c r="C4" s="9" t="s">
        <v>18</v>
      </c>
      <c r="E4" t="s">
        <v>2</v>
      </c>
      <c r="G4" s="71">
        <f ca="1">S83</f>
        <v>33.603301120183907</v>
      </c>
      <c r="T4" s="79"/>
    </row>
    <row r="5" spans="1:20" x14ac:dyDescent="0.75">
      <c r="A5" s="78"/>
      <c r="B5" t="s">
        <v>1</v>
      </c>
      <c r="C5" s="10">
        <v>45420</v>
      </c>
      <c r="E5" t="s">
        <v>3</v>
      </c>
      <c r="G5" s="11">
        <v>40.61</v>
      </c>
      <c r="I5" s="72"/>
      <c r="T5" s="79"/>
    </row>
    <row r="6" spans="1:20" x14ac:dyDescent="0.75">
      <c r="A6" s="78"/>
      <c r="T6" s="79"/>
    </row>
    <row r="7" spans="1:20" x14ac:dyDescent="0.75">
      <c r="A7" s="80" t="s">
        <v>23</v>
      </c>
      <c r="B7" s="8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6"/>
      <c r="P7" s="6"/>
      <c r="Q7" s="6"/>
      <c r="R7" s="6"/>
      <c r="S7" s="6"/>
      <c r="T7" s="81"/>
    </row>
    <row r="8" spans="1:20" ht="16" x14ac:dyDescent="0.8">
      <c r="A8" s="78"/>
      <c r="B8" s="82" t="s">
        <v>92</v>
      </c>
      <c r="C8" s="83"/>
      <c r="D8" s="83"/>
      <c r="E8" s="83"/>
      <c r="G8" s="84" t="s">
        <v>5</v>
      </c>
      <c r="K8" s="84" t="s">
        <v>110</v>
      </c>
      <c r="N8"/>
      <c r="O8" s="84" t="s">
        <v>7</v>
      </c>
      <c r="T8" s="79"/>
    </row>
    <row r="9" spans="1:20" ht="16" x14ac:dyDescent="0.8">
      <c r="A9" s="78"/>
      <c r="B9" s="83" t="s">
        <v>95</v>
      </c>
      <c r="C9" s="83"/>
      <c r="D9" s="31">
        <v>1</v>
      </c>
      <c r="E9" s="83"/>
      <c r="G9" t="s">
        <v>111</v>
      </c>
      <c r="I9" s="39">
        <v>0.08</v>
      </c>
      <c r="N9"/>
      <c r="O9" t="s">
        <v>111</v>
      </c>
      <c r="Q9" s="39">
        <v>0.2</v>
      </c>
      <c r="T9" s="79"/>
    </row>
    <row r="10" spans="1:20" ht="16" x14ac:dyDescent="0.8">
      <c r="A10" s="78"/>
      <c r="B10" s="83" t="s">
        <v>96</v>
      </c>
      <c r="C10" s="83"/>
      <c r="D10" s="31">
        <v>1</v>
      </c>
      <c r="E10" s="83"/>
      <c r="G10" t="s">
        <v>109</v>
      </c>
      <c r="I10" s="39">
        <v>0.03</v>
      </c>
      <c r="K10" t="s">
        <v>109</v>
      </c>
      <c r="M10" s="41">
        <f ca="1">S43</f>
        <v>2663.5963820741813</v>
      </c>
      <c r="N10"/>
      <c r="O10" t="s">
        <v>109</v>
      </c>
      <c r="Q10" s="39">
        <v>0.12</v>
      </c>
      <c r="T10" s="79"/>
    </row>
    <row r="11" spans="1:20" ht="16" x14ac:dyDescent="0.8">
      <c r="A11" s="78"/>
      <c r="B11" s="83"/>
      <c r="C11" s="83"/>
      <c r="D11" s="83"/>
      <c r="E11" s="83"/>
      <c r="G11" t="s">
        <v>112</v>
      </c>
      <c r="I11" s="39">
        <v>0.7</v>
      </c>
      <c r="K11" t="s">
        <v>107</v>
      </c>
      <c r="M11" s="41">
        <f ca="1">S49</f>
        <v>370.79657730438259</v>
      </c>
      <c r="N11"/>
      <c r="O11" t="s">
        <v>112</v>
      </c>
      <c r="Q11" s="39">
        <v>1.2</v>
      </c>
      <c r="T11" s="79"/>
    </row>
    <row r="12" spans="1:20" ht="16" x14ac:dyDescent="0.8">
      <c r="A12" s="78"/>
      <c r="B12" s="83" t="s">
        <v>97</v>
      </c>
      <c r="C12" s="83"/>
      <c r="D12" s="31">
        <v>1</v>
      </c>
      <c r="E12" s="83"/>
      <c r="N12"/>
      <c r="T12" s="79"/>
    </row>
    <row r="13" spans="1:20" ht="16" x14ac:dyDescent="0.8">
      <c r="A13" s="78"/>
      <c r="B13" s="83" t="s">
        <v>98</v>
      </c>
      <c r="C13" s="83"/>
      <c r="D13" s="31">
        <v>1</v>
      </c>
      <c r="E13" s="83"/>
      <c r="K13" t="s">
        <v>15</v>
      </c>
      <c r="M13" s="39">
        <v>0.25</v>
      </c>
      <c r="N13"/>
      <c r="T13" s="79"/>
    </row>
    <row r="14" spans="1:20" ht="16" x14ac:dyDescent="0.8">
      <c r="A14" s="78"/>
      <c r="B14" s="83"/>
      <c r="C14" s="83"/>
      <c r="D14" s="83"/>
      <c r="E14" s="83"/>
      <c r="G14" t="s">
        <v>97</v>
      </c>
      <c r="I14" s="40">
        <f>M14+0.005</f>
        <v>8.7100000000000011E-2</v>
      </c>
      <c r="K14" t="s">
        <v>97</v>
      </c>
      <c r="M14" s="39">
        <v>8.2100000000000006E-2</v>
      </c>
      <c r="N14"/>
      <c r="O14" t="s">
        <v>97</v>
      </c>
      <c r="Q14" s="39">
        <f>M14-0.005</f>
        <v>7.7100000000000002E-2</v>
      </c>
      <c r="T14" s="79"/>
    </row>
    <row r="15" spans="1:20" ht="16" x14ac:dyDescent="0.8">
      <c r="A15" s="78"/>
      <c r="B15" s="82" t="s">
        <v>99</v>
      </c>
      <c r="C15" s="83"/>
      <c r="D15" s="83"/>
      <c r="E15" s="83"/>
      <c r="G15" t="s">
        <v>98</v>
      </c>
      <c r="I15" s="39">
        <v>0.02</v>
      </c>
      <c r="K15" t="s">
        <v>98</v>
      </c>
      <c r="M15" s="39">
        <v>2.5000000000000001E-2</v>
      </c>
      <c r="N15"/>
      <c r="O15" t="s">
        <v>98</v>
      </c>
      <c r="Q15" s="40">
        <v>0.03</v>
      </c>
      <c r="T15" s="79"/>
    </row>
    <row r="16" spans="1:20" ht="16" x14ac:dyDescent="0.8">
      <c r="A16" s="78"/>
      <c r="B16" s="83" t="s">
        <v>97</v>
      </c>
      <c r="C16" s="83"/>
      <c r="D16" s="85">
        <f>CHOOSE(D12,I14,M14,Q14)</f>
        <v>8.7100000000000011E-2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T16" s="79"/>
    </row>
    <row r="17" spans="1:20" ht="16" x14ac:dyDescent="0.8">
      <c r="A17" s="78"/>
      <c r="B17" s="83" t="s">
        <v>98</v>
      </c>
      <c r="C17" s="83"/>
      <c r="D17" s="85">
        <f>CHOOSE($D$13,I15,M15,Q15)</f>
        <v>0.02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T17" s="79"/>
    </row>
    <row r="18" spans="1:20" ht="16" x14ac:dyDescent="0.8">
      <c r="A18" s="78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T18" s="79"/>
    </row>
    <row r="19" spans="1:20" x14ac:dyDescent="0.75">
      <c r="A19" s="86"/>
      <c r="B19" s="87" t="s">
        <v>8</v>
      </c>
      <c r="C19" s="87"/>
      <c r="D19" s="87">
        <v>2013</v>
      </c>
      <c r="E19" s="87">
        <f>D19+1</f>
        <v>2014</v>
      </c>
      <c r="F19" s="87">
        <f t="shared" ref="F19:S19" si="0">E19+1</f>
        <v>2015</v>
      </c>
      <c r="G19" s="87">
        <f t="shared" si="0"/>
        <v>2016</v>
      </c>
      <c r="H19" s="87">
        <f t="shared" si="0"/>
        <v>2017</v>
      </c>
      <c r="I19" s="87">
        <f t="shared" si="0"/>
        <v>2018</v>
      </c>
      <c r="J19" s="87">
        <f t="shared" si="0"/>
        <v>2019</v>
      </c>
      <c r="K19" s="87">
        <f t="shared" si="0"/>
        <v>2020</v>
      </c>
      <c r="L19" s="87">
        <f t="shared" si="0"/>
        <v>2021</v>
      </c>
      <c r="M19" s="87">
        <f t="shared" si="0"/>
        <v>2022</v>
      </c>
      <c r="N19" s="21">
        <f t="shared" si="0"/>
        <v>2023</v>
      </c>
      <c r="O19" s="87">
        <f t="shared" si="0"/>
        <v>2024</v>
      </c>
      <c r="P19" s="87">
        <f t="shared" si="0"/>
        <v>2025</v>
      </c>
      <c r="Q19" s="87">
        <f t="shared" si="0"/>
        <v>2026</v>
      </c>
      <c r="R19" s="87">
        <f t="shared" si="0"/>
        <v>2027</v>
      </c>
      <c r="S19" s="87">
        <f t="shared" si="0"/>
        <v>2028</v>
      </c>
      <c r="T19" s="88"/>
    </row>
    <row r="20" spans="1:20" s="18" customFormat="1" x14ac:dyDescent="0.75">
      <c r="A20" s="89"/>
      <c r="B20" s="90" t="s">
        <v>11</v>
      </c>
      <c r="C20" s="90"/>
      <c r="D20" s="90">
        <f>IS!C2</f>
        <v>1314.223</v>
      </c>
      <c r="E20" s="90">
        <f>IS!D2</f>
        <v>1334.951</v>
      </c>
      <c r="F20" s="90">
        <f>IS!E2</f>
        <v>1405.239</v>
      </c>
      <c r="G20" s="90">
        <f>IS!F2</f>
        <v>1399.5509999999999</v>
      </c>
      <c r="H20" s="90">
        <f>IS!G2</f>
        <v>1567.0830000000001</v>
      </c>
      <c r="I20" s="90">
        <f>IS!H2</f>
        <v>1677.7339999999999</v>
      </c>
      <c r="J20" s="90">
        <f>IS!I2</f>
        <v>1787.1569999999999</v>
      </c>
      <c r="K20" s="90">
        <f>IS!J2</f>
        <v>1201.8140000000001</v>
      </c>
      <c r="L20" s="90">
        <f>IS!K2</f>
        <v>1866.1420000000001</v>
      </c>
      <c r="M20" s="90">
        <f>IS!L2</f>
        <v>2122.09</v>
      </c>
      <c r="N20" s="22">
        <f>IS!M2</f>
        <v>1981.5820000000001</v>
      </c>
      <c r="O20" s="91">
        <f>Predictions!B2</f>
        <v>2260</v>
      </c>
      <c r="P20" s="91">
        <f>Predictions!C2</f>
        <v>2380</v>
      </c>
      <c r="Q20" s="91">
        <f>Predictions!D2</f>
        <v>2510</v>
      </c>
      <c r="R20" s="91">
        <f>Predictions!E2</f>
        <v>2770</v>
      </c>
      <c r="S20" s="91">
        <f>Predictions!F2</f>
        <v>2950</v>
      </c>
      <c r="T20" s="92"/>
    </row>
    <row r="21" spans="1:20" s="27" customFormat="1" x14ac:dyDescent="0.75">
      <c r="A21" s="93"/>
      <c r="B21" s="94" t="s">
        <v>12</v>
      </c>
      <c r="D21" s="95"/>
      <c r="E21" s="27">
        <f>(E20-D20)/D20</f>
        <v>1.577205694923926E-2</v>
      </c>
      <c r="F21" s="27">
        <f t="shared" ref="F21:N21" si="1">(F20-E20)/E20</f>
        <v>5.265211981563369E-2</v>
      </c>
      <c r="G21" s="27">
        <f t="shared" si="1"/>
        <v>-4.0477100336669429E-3</v>
      </c>
      <c r="H21" s="27">
        <f t="shared" si="1"/>
        <v>0.11970410510227934</v>
      </c>
      <c r="I21" s="27">
        <f t="shared" si="1"/>
        <v>7.0609533764325078E-2</v>
      </c>
      <c r="J21" s="27">
        <f t="shared" si="1"/>
        <v>6.5220708407888267E-2</v>
      </c>
      <c r="K21" s="27">
        <f t="shared" si="1"/>
        <v>-0.32752746401127592</v>
      </c>
      <c r="L21" s="27">
        <f t="shared" si="1"/>
        <v>0.55277106107933505</v>
      </c>
      <c r="M21" s="27">
        <f t="shared" si="1"/>
        <v>0.1371535499442165</v>
      </c>
      <c r="N21" s="27">
        <f t="shared" si="1"/>
        <v>-6.621208337063933E-2</v>
      </c>
      <c r="O21" s="27">
        <v>0.04</v>
      </c>
      <c r="P21" s="27">
        <v>7.0000000000000007E-2</v>
      </c>
      <c r="Q21" s="27">
        <v>0.06</v>
      </c>
      <c r="R21" s="27">
        <v>7.0000000000000007E-2</v>
      </c>
      <c r="S21" s="27">
        <f t="shared" ref="S21" si="2">(S20-R20)/R20</f>
        <v>6.4981949458483748E-2</v>
      </c>
      <c r="T21" s="96"/>
    </row>
    <row r="22" spans="1:20" x14ac:dyDescent="0.75">
      <c r="A22" s="78"/>
      <c r="N22" s="23"/>
      <c r="T22" s="79"/>
    </row>
    <row r="23" spans="1:20" s="17" customFormat="1" x14ac:dyDescent="0.75">
      <c r="A23" s="97"/>
      <c r="B23" s="98" t="s">
        <v>107</v>
      </c>
      <c r="C23" s="98"/>
      <c r="D23" s="90">
        <f>IS!C9</f>
        <v>203.768</v>
      </c>
      <c r="E23" s="90">
        <f>IS!D9</f>
        <v>167.642</v>
      </c>
      <c r="F23" s="90">
        <f>IS!E9</f>
        <v>171.648</v>
      </c>
      <c r="G23" s="90">
        <f>IS!F9</f>
        <v>169.17599999999999</v>
      </c>
      <c r="H23" s="90">
        <f>IS!G9</f>
        <v>169.78399999999999</v>
      </c>
      <c r="I23" s="90">
        <f>IS!H9</f>
        <v>173.38200000000001</v>
      </c>
      <c r="J23" s="90">
        <f>IS!I9</f>
        <v>176.81399999999999</v>
      </c>
      <c r="K23" s="90">
        <f>IS!J9</f>
        <v>-75.878</v>
      </c>
      <c r="L23" s="90">
        <f>IS!K9</f>
        <v>243.59700000000001</v>
      </c>
      <c r="M23" s="90">
        <f>IS!L9</f>
        <v>281.64400000000001</v>
      </c>
      <c r="N23" s="90">
        <f>IS!M9</f>
        <v>213.22200000000001</v>
      </c>
      <c r="O23" s="91">
        <f>O24*O20</f>
        <v>271.56386831834885</v>
      </c>
      <c r="P23" s="91">
        <f t="shared" ref="P23:S23" si="3">P24*P20</f>
        <v>271.0378624627898</v>
      </c>
      <c r="Q23" s="91">
        <f t="shared" si="3"/>
        <v>293.72328541371439</v>
      </c>
      <c r="R23" s="91">
        <f t="shared" si="3"/>
        <v>319.80021742973418</v>
      </c>
      <c r="S23" s="91">
        <f t="shared" si="3"/>
        <v>342.89704263930804</v>
      </c>
      <c r="T23" s="99"/>
    </row>
    <row r="24" spans="1:20" s="27" customFormat="1" x14ac:dyDescent="0.75">
      <c r="A24" s="93"/>
      <c r="B24" s="94" t="s">
        <v>14</v>
      </c>
      <c r="D24" s="27">
        <f>D23/D20</f>
        <v>0.15504826806409566</v>
      </c>
      <c r="E24" s="27">
        <f t="shared" ref="E24:N24" si="4">E23/E20</f>
        <v>0.12557914110705187</v>
      </c>
      <c r="F24" s="27">
        <f t="shared" si="4"/>
        <v>0.12214861671217493</v>
      </c>
      <c r="G24" s="27">
        <f t="shared" si="4"/>
        <v>0.12087876754759205</v>
      </c>
      <c r="H24" s="27">
        <f t="shared" si="4"/>
        <v>0.10834397412262145</v>
      </c>
      <c r="I24" s="27">
        <f t="shared" si="4"/>
        <v>0.10334296139912526</v>
      </c>
      <c r="J24" s="27">
        <f t="shared" si="4"/>
        <v>9.8935907701449846E-2</v>
      </c>
      <c r="K24" s="27">
        <f t="shared" si="4"/>
        <v>-6.3136225738758239E-2</v>
      </c>
      <c r="L24" s="27">
        <f t="shared" si="4"/>
        <v>0.13053508253927085</v>
      </c>
      <c r="M24" s="27">
        <f t="shared" si="4"/>
        <v>0.13272010140945953</v>
      </c>
      <c r="N24" s="27">
        <f t="shared" si="4"/>
        <v>0.10760190595191114</v>
      </c>
      <c r="O24" s="27">
        <f>AVERAGE(N24,M24)</f>
        <v>0.12016100368068533</v>
      </c>
      <c r="P24" s="27">
        <f t="shared" ref="P24:S24" si="5">AVERAGE(O24,N24)</f>
        <v>0.11388145481629824</v>
      </c>
      <c r="Q24" s="27">
        <f t="shared" si="5"/>
        <v>0.11702122924849179</v>
      </c>
      <c r="R24" s="27">
        <f t="shared" si="5"/>
        <v>0.11545134203239502</v>
      </c>
      <c r="S24" s="27">
        <f t="shared" si="5"/>
        <v>0.1162362856404434</v>
      </c>
      <c r="T24" s="96"/>
    </row>
    <row r="25" spans="1:20" x14ac:dyDescent="0.75">
      <c r="A25" s="78"/>
      <c r="N25" s="23"/>
      <c r="T25" s="79"/>
    </row>
    <row r="26" spans="1:20" x14ac:dyDescent="0.75">
      <c r="A26" s="78"/>
      <c r="B26" t="s">
        <v>15</v>
      </c>
      <c r="D26" s="90">
        <f>IS!C12</f>
        <v>75.665999999999997</v>
      </c>
      <c r="E26" s="90">
        <f>IS!D12</f>
        <v>58.764000000000003</v>
      </c>
      <c r="F26" s="90">
        <f>IS!E12</f>
        <v>58.811</v>
      </c>
      <c r="G26" s="90">
        <f>IS!F12</f>
        <v>49.725999999999999</v>
      </c>
      <c r="H26" s="90">
        <f>IS!G12</f>
        <v>53.189</v>
      </c>
      <c r="I26" s="90">
        <f>IS!H12</f>
        <v>46.841000000000001</v>
      </c>
      <c r="J26" s="90">
        <f>IS!I12</f>
        <v>39.503999999999998</v>
      </c>
      <c r="K26" s="90">
        <f>IS!J12</f>
        <v>-11.704000000000001</v>
      </c>
      <c r="L26" s="90">
        <f>IS!K12</f>
        <v>49.609000000000002</v>
      </c>
      <c r="M26" s="90">
        <f>IS!L12</f>
        <v>65.102999999999994</v>
      </c>
      <c r="N26" s="90">
        <f>IS!M12</f>
        <v>46.639000000000003</v>
      </c>
      <c r="O26" s="91">
        <f>O27*O23</f>
        <v>61.08665973910896</v>
      </c>
      <c r="P26" s="91">
        <f t="shared" ref="P26:S26" si="6">P27*P23</f>
        <v>60.126829801037012</v>
      </c>
      <c r="Q26" s="91">
        <f t="shared" si="6"/>
        <v>65.615316946750042</v>
      </c>
      <c r="R26" s="91">
        <f t="shared" si="6"/>
        <v>71.192458815029482</v>
      </c>
      <c r="S26" s="91">
        <f t="shared" si="6"/>
        <v>76.46724491216149</v>
      </c>
      <c r="T26" s="79"/>
    </row>
    <row r="27" spans="1:20" s="27" customFormat="1" x14ac:dyDescent="0.75">
      <c r="A27" s="93"/>
      <c r="B27" s="27" t="s">
        <v>16</v>
      </c>
      <c r="D27" s="27">
        <f>D26/D23</f>
        <v>0.37133406619292525</v>
      </c>
      <c r="E27" s="27">
        <f t="shared" ref="E27" si="7">E26/E23</f>
        <v>0.35053268274060201</v>
      </c>
      <c r="F27" s="27">
        <f t="shared" ref="F27:N27" si="8">F26/F23</f>
        <v>0.34262560589112601</v>
      </c>
      <c r="G27" s="27">
        <f t="shared" si="8"/>
        <v>0.29393058116990589</v>
      </c>
      <c r="H27" s="27">
        <f t="shared" si="8"/>
        <v>0.31327451349950525</v>
      </c>
      <c r="I27" s="27">
        <f t="shared" si="8"/>
        <v>0.27016068565364337</v>
      </c>
      <c r="J27" s="27">
        <f t="shared" si="8"/>
        <v>0.22342122230140146</v>
      </c>
      <c r="K27" s="27">
        <f t="shared" si="8"/>
        <v>0.15424760800231951</v>
      </c>
      <c r="L27" s="27">
        <f t="shared" si="8"/>
        <v>0.20365193331609174</v>
      </c>
      <c r="M27" s="27">
        <f t="shared" si="8"/>
        <v>0.23115351294542044</v>
      </c>
      <c r="N27" s="27">
        <f t="shared" si="8"/>
        <v>0.21873446454868636</v>
      </c>
      <c r="O27" s="27">
        <f>AVERAGE(N27,M27)</f>
        <v>0.2249439887470534</v>
      </c>
      <c r="P27" s="27">
        <f t="shared" ref="P27:S27" si="9">AVERAGE(O27,N27)</f>
        <v>0.22183922664786987</v>
      </c>
      <c r="Q27" s="27">
        <f t="shared" si="9"/>
        <v>0.22339160769746164</v>
      </c>
      <c r="R27" s="27">
        <f t="shared" si="9"/>
        <v>0.22261541717266575</v>
      </c>
      <c r="S27" s="27">
        <f t="shared" si="9"/>
        <v>0.22300351243506369</v>
      </c>
      <c r="T27" s="96"/>
    </row>
    <row r="28" spans="1:20" x14ac:dyDescent="0.75">
      <c r="A28" s="78"/>
      <c r="D28" s="90"/>
      <c r="T28" s="79"/>
    </row>
    <row r="29" spans="1:20" x14ac:dyDescent="0.75">
      <c r="A29" s="78"/>
      <c r="T29" s="79"/>
    </row>
    <row r="30" spans="1:20" x14ac:dyDescent="0.75">
      <c r="A30" s="86" t="s">
        <v>23</v>
      </c>
      <c r="B30" s="87" t="s">
        <v>9</v>
      </c>
      <c r="C30" s="87"/>
      <c r="D30" s="87">
        <f>D19</f>
        <v>2013</v>
      </c>
      <c r="E30" s="87">
        <f t="shared" ref="E30:S30" si="10">E19</f>
        <v>2014</v>
      </c>
      <c r="F30" s="87">
        <f t="shared" si="10"/>
        <v>2015</v>
      </c>
      <c r="G30" s="87">
        <f t="shared" si="10"/>
        <v>2016</v>
      </c>
      <c r="H30" s="87">
        <f t="shared" si="10"/>
        <v>2017</v>
      </c>
      <c r="I30" s="87">
        <f t="shared" si="10"/>
        <v>2018</v>
      </c>
      <c r="J30" s="87">
        <f t="shared" si="10"/>
        <v>2019</v>
      </c>
      <c r="K30" s="87">
        <f t="shared" si="10"/>
        <v>2020</v>
      </c>
      <c r="L30" s="87">
        <f t="shared" si="10"/>
        <v>2021</v>
      </c>
      <c r="M30" s="87">
        <f t="shared" si="10"/>
        <v>2022</v>
      </c>
      <c r="N30" s="87">
        <f t="shared" si="10"/>
        <v>2023</v>
      </c>
      <c r="O30" s="87">
        <f t="shared" si="10"/>
        <v>2024</v>
      </c>
      <c r="P30" s="87">
        <f t="shared" si="10"/>
        <v>2025</v>
      </c>
      <c r="Q30" s="87">
        <f t="shared" si="10"/>
        <v>2026</v>
      </c>
      <c r="R30" s="87">
        <f t="shared" si="10"/>
        <v>2027</v>
      </c>
      <c r="S30" s="87">
        <f t="shared" si="10"/>
        <v>2028</v>
      </c>
      <c r="T30" s="88"/>
    </row>
    <row r="31" spans="1:20" s="17" customFormat="1" x14ac:dyDescent="0.75">
      <c r="A31" s="97"/>
      <c r="B31" s="98" t="s">
        <v>19</v>
      </c>
      <c r="C31" s="98"/>
      <c r="D31" s="90">
        <f>Cashflow!B3</f>
        <v>12.978999999999999</v>
      </c>
      <c r="E31" s="90">
        <f>Cashflow!C3</f>
        <v>15.077</v>
      </c>
      <c r="F31" s="90">
        <f>Cashflow!D3</f>
        <v>20.757000000000001</v>
      </c>
      <c r="G31" s="90">
        <f>Cashflow!E3</f>
        <v>21.102</v>
      </c>
      <c r="H31" s="90">
        <f>Cashflow!F3</f>
        <v>22.388999999999999</v>
      </c>
      <c r="I31" s="90">
        <f>Cashflow!G3</f>
        <v>22.481999999999999</v>
      </c>
      <c r="J31" s="90">
        <f>Cashflow!H3</f>
        <v>27.27</v>
      </c>
      <c r="K31" s="90">
        <f>Cashflow!I3</f>
        <v>98.528000000000006</v>
      </c>
      <c r="L31" s="90">
        <f>Cashflow!J3</f>
        <v>19.260000000000002</v>
      </c>
      <c r="M31" s="90">
        <f>Cashflow!K3</f>
        <v>20.576000000000001</v>
      </c>
      <c r="N31" s="90">
        <f>Cashflow!L3</f>
        <v>22.021000000000001</v>
      </c>
      <c r="O31" s="91">
        <f>O32*O20</f>
        <v>25.115014165449622</v>
      </c>
      <c r="P31" s="91">
        <f t="shared" ref="P31:R31" si="11">P32*P20</f>
        <v>26.448554740606241</v>
      </c>
      <c r="Q31" s="91">
        <f t="shared" si="11"/>
        <v>27.89322369702591</v>
      </c>
      <c r="R31" s="91">
        <f t="shared" si="11"/>
        <v>30.782561609865247</v>
      </c>
      <c r="S31" s="91">
        <f t="shared" ref="S31" si="12">S32*S20</f>
        <v>32.782872472600175</v>
      </c>
      <c r="T31" s="99"/>
    </row>
    <row r="32" spans="1:20" s="27" customFormat="1" x14ac:dyDescent="0.75">
      <c r="A32" s="93"/>
      <c r="B32" s="94" t="s">
        <v>20</v>
      </c>
      <c r="D32" s="27">
        <f>D31/D20</f>
        <v>9.8757973342423616E-3</v>
      </c>
      <c r="E32" s="27">
        <f t="shared" ref="E32:N32" si="13">E31/E20</f>
        <v>1.1294047496874416E-2</v>
      </c>
      <c r="F32" s="27">
        <f t="shared" si="13"/>
        <v>1.4771152807458375E-2</v>
      </c>
      <c r="G32" s="27">
        <f t="shared" si="13"/>
        <v>1.5077692774325481E-2</v>
      </c>
      <c r="H32" s="27">
        <f t="shared" si="13"/>
        <v>1.4287054355129881E-2</v>
      </c>
      <c r="I32" s="27">
        <f t="shared" si="13"/>
        <v>1.3400217197720259E-2</v>
      </c>
      <c r="J32" s="27">
        <f t="shared" si="13"/>
        <v>1.5258872052091674E-2</v>
      </c>
      <c r="K32" s="27">
        <f t="shared" si="13"/>
        <v>8.1982736097266293E-2</v>
      </c>
      <c r="L32" s="27">
        <f t="shared" si="13"/>
        <v>1.0320758013055813E-2</v>
      </c>
      <c r="M32" s="27">
        <f t="shared" si="13"/>
        <v>9.6961014848569102E-3</v>
      </c>
      <c r="N32" s="27">
        <f t="shared" si="13"/>
        <v>1.1112838126305143E-2</v>
      </c>
      <c r="O32" s="27">
        <f>IFERROR(N32,P32)</f>
        <v>1.1112838126305143E-2</v>
      </c>
      <c r="P32" s="27">
        <f t="shared" ref="P32:S32" si="14">IFERROR(O32,Q32)</f>
        <v>1.1112838126305143E-2</v>
      </c>
      <c r="Q32" s="27">
        <f t="shared" si="14"/>
        <v>1.1112838126305143E-2</v>
      </c>
      <c r="R32" s="27">
        <f t="shared" si="14"/>
        <v>1.1112838126305143E-2</v>
      </c>
      <c r="S32" s="27">
        <f t="shared" si="14"/>
        <v>1.1112838126305143E-2</v>
      </c>
      <c r="T32" s="96"/>
    </row>
    <row r="33" spans="1:20" x14ac:dyDescent="0.75">
      <c r="A33" s="78"/>
      <c r="T33" s="79"/>
    </row>
    <row r="34" spans="1:20" s="17" customFormat="1" x14ac:dyDescent="0.75">
      <c r="A34" s="97"/>
      <c r="B34" s="98" t="s">
        <v>21</v>
      </c>
      <c r="C34" s="98"/>
      <c r="D34" s="90">
        <f>Cashflow!B11</f>
        <v>-20.745999999999999</v>
      </c>
      <c r="E34" s="90">
        <f>Cashflow!C11</f>
        <v>-18.341000000000001</v>
      </c>
      <c r="F34" s="90">
        <f>Cashflow!D11</f>
        <v>-19.459</v>
      </c>
      <c r="G34" s="90">
        <f>Cashflow!E11</f>
        <v>-15.897</v>
      </c>
      <c r="H34" s="90">
        <f>Cashflow!F11</f>
        <v>-14.775</v>
      </c>
      <c r="I34" s="90">
        <f>Cashflow!G11</f>
        <v>-12.45</v>
      </c>
      <c r="J34" s="90">
        <f>Cashflow!H11</f>
        <v>-18.311</v>
      </c>
      <c r="K34" s="90">
        <f>Cashflow!I11</f>
        <v>-6.5620000000000003</v>
      </c>
      <c r="L34" s="90">
        <f>Cashflow!J11</f>
        <v>-6.6079999999999997</v>
      </c>
      <c r="M34" s="90">
        <f>Cashflow!K11</f>
        <v>-16.350999999999999</v>
      </c>
      <c r="N34" s="90">
        <f>Cashflow!L11</f>
        <v>-19.47</v>
      </c>
      <c r="O34" s="91">
        <f>O35*O20</f>
        <v>-15.873952142801535</v>
      </c>
      <c r="P34" s="91">
        <f t="shared" ref="P34:S34" si="15">P35*P20</f>
        <v>-19.47989956153549</v>
      </c>
      <c r="Q34" s="91">
        <f t="shared" si="15"/>
        <v>-20.945269999056741</v>
      </c>
      <c r="R34" s="91">
        <f t="shared" si="15"/>
        <v>-21.747670229352003</v>
      </c>
      <c r="S34" s="91">
        <f t="shared" si="15"/>
        <v>-23.974360230315146</v>
      </c>
      <c r="T34" s="99"/>
    </row>
    <row r="35" spans="1:20" s="27" customFormat="1" x14ac:dyDescent="0.75">
      <c r="A35" s="93"/>
      <c r="B35" s="27" t="s">
        <v>14</v>
      </c>
      <c r="D35" s="27">
        <f>D34/D20</f>
        <v>-1.5785753254965101E-2</v>
      </c>
      <c r="E35" s="27">
        <f t="shared" ref="E35:N35" si="16">E34/E20</f>
        <v>-1.3739081059904071E-2</v>
      </c>
      <c r="F35" s="27">
        <f t="shared" si="16"/>
        <v>-1.3847466516371948E-2</v>
      </c>
      <c r="G35" s="27">
        <f t="shared" si="16"/>
        <v>-1.1358642879037635E-2</v>
      </c>
      <c r="H35" s="27">
        <f t="shared" si="16"/>
        <v>-9.4283455311556571E-3</v>
      </c>
      <c r="I35" s="27">
        <f t="shared" si="16"/>
        <v>-7.4207234281477279E-3</v>
      </c>
      <c r="J35" s="27">
        <f t="shared" si="16"/>
        <v>-1.024588214689588E-2</v>
      </c>
      <c r="K35" s="27">
        <f t="shared" si="16"/>
        <v>-5.460079513135976E-3</v>
      </c>
      <c r="L35" s="27">
        <f t="shared" si="16"/>
        <v>-3.5409952725998341E-3</v>
      </c>
      <c r="M35" s="27">
        <f t="shared" si="16"/>
        <v>-7.7051397443086761E-3</v>
      </c>
      <c r="N35" s="27">
        <f t="shared" si="16"/>
        <v>-9.8254828717660933E-3</v>
      </c>
      <c r="O35" s="27">
        <f>AVERAGE(L35:N35)</f>
        <v>-7.0238726295582012E-3</v>
      </c>
      <c r="P35" s="27">
        <f t="shared" ref="P35:S35" si="17">AVERAGE(M35:O35)</f>
        <v>-8.1848317485443238E-3</v>
      </c>
      <c r="Q35" s="27">
        <f t="shared" si="17"/>
        <v>-8.3447290832895388E-3</v>
      </c>
      <c r="R35" s="27">
        <f t="shared" si="17"/>
        <v>-7.8511444871306874E-3</v>
      </c>
      <c r="S35" s="27">
        <f t="shared" si="17"/>
        <v>-8.1269017729881845E-3</v>
      </c>
      <c r="T35" s="96"/>
    </row>
    <row r="36" spans="1:20" x14ac:dyDescent="0.75">
      <c r="A36" s="78"/>
      <c r="T36" s="79"/>
    </row>
    <row r="37" spans="1:20" s="17" customFormat="1" x14ac:dyDescent="0.75">
      <c r="A37" s="97"/>
      <c r="B37" s="98" t="s">
        <v>22</v>
      </c>
      <c r="C37" s="98"/>
      <c r="D37" s="90">
        <f>Cashflow!B9</f>
        <v>-15.516999999999999</v>
      </c>
      <c r="E37" s="90">
        <f>Cashflow!C9</f>
        <v>3.5139999999999998</v>
      </c>
      <c r="F37" s="90">
        <f>Cashflow!D9</f>
        <v>-13.53</v>
      </c>
      <c r="G37" s="90">
        <f>Cashflow!E9</f>
        <v>-5.1459999999999999</v>
      </c>
      <c r="H37" s="90">
        <f>Cashflow!F9</f>
        <v>17.666</v>
      </c>
      <c r="I37" s="90">
        <f>Cashflow!G9</f>
        <v>-30.407</v>
      </c>
      <c r="J37" s="90">
        <f>Cashflow!H9</f>
        <v>28.73</v>
      </c>
      <c r="K37" s="90">
        <f>Cashflow!I9</f>
        <v>41.970999999999997</v>
      </c>
      <c r="L37" s="90">
        <f>Cashflow!J9</f>
        <v>-79.283000000000001</v>
      </c>
      <c r="M37" s="90">
        <f>Cashflow!K9</f>
        <v>10.605</v>
      </c>
      <c r="N37" s="90">
        <f>Cashflow!L9</f>
        <v>2.8069999999999999</v>
      </c>
      <c r="O37" s="91">
        <f>O38*O20</f>
        <v>-27.173486883437093</v>
      </c>
      <c r="P37" s="91">
        <f t="shared" ref="P37:S37" si="18">P38*P20</f>
        <v>-4.4503540848018597</v>
      </c>
      <c r="Q37" s="91">
        <f t="shared" si="18"/>
        <v>-10.439105456838583</v>
      </c>
      <c r="R37" s="91">
        <f t="shared" si="18"/>
        <v>-16.668539259357757</v>
      </c>
      <c r="S37" s="91">
        <f t="shared" si="18"/>
        <v>-11.845652263535058</v>
      </c>
      <c r="T37" s="99"/>
    </row>
    <row r="38" spans="1:20" s="27" customFormat="1" x14ac:dyDescent="0.75">
      <c r="A38" s="93"/>
      <c r="B38" s="27" t="s">
        <v>20</v>
      </c>
      <c r="D38" s="27">
        <f>D37/D20</f>
        <v>-1.1806976441593245E-2</v>
      </c>
      <c r="E38" s="27">
        <f t="shared" ref="E38:N38" si="19">E37/E20</f>
        <v>2.6323063543156264E-3</v>
      </c>
      <c r="F38" s="27">
        <f t="shared" si="19"/>
        <v>-9.6282554070873348E-3</v>
      </c>
      <c r="G38" s="27">
        <f t="shared" si="19"/>
        <v>-3.6768935179925565E-3</v>
      </c>
      <c r="H38" s="27">
        <f t="shared" si="19"/>
        <v>1.1273174426625775E-2</v>
      </c>
      <c r="I38" s="27">
        <f t="shared" si="19"/>
        <v>-1.8123850383910681E-2</v>
      </c>
      <c r="J38" s="27">
        <f t="shared" si="19"/>
        <v>1.6075812029944767E-2</v>
      </c>
      <c r="K38" s="27">
        <f t="shared" si="19"/>
        <v>3.4923041335847303E-2</v>
      </c>
      <c r="L38" s="27">
        <f t="shared" si="19"/>
        <v>-4.248497702747165E-2</v>
      </c>
      <c r="M38" s="27">
        <f t="shared" si="19"/>
        <v>4.9974317771630796E-3</v>
      </c>
      <c r="N38" s="27">
        <f t="shared" si="19"/>
        <v>1.4165449625602169E-3</v>
      </c>
      <c r="O38" s="27">
        <f>AVERAGE(L38:N38)</f>
        <v>-1.2023666762582784E-2</v>
      </c>
      <c r="P38" s="27">
        <f t="shared" ref="P38:S38" si="20">AVERAGE(M38:O38)</f>
        <v>-1.8698966742864958E-3</v>
      </c>
      <c r="Q38" s="27">
        <f t="shared" si="20"/>
        <v>-4.1590061581030209E-3</v>
      </c>
      <c r="R38" s="27">
        <f t="shared" si="20"/>
        <v>-6.0175231983241005E-3</v>
      </c>
      <c r="S38" s="27">
        <f t="shared" si="20"/>
        <v>-4.0154753435712063E-3</v>
      </c>
      <c r="T38" s="96"/>
    </row>
    <row r="39" spans="1:20" s="27" customFormat="1" x14ac:dyDescent="0.75">
      <c r="A39" s="93"/>
      <c r="T39" s="96"/>
    </row>
    <row r="40" spans="1:20" x14ac:dyDescent="0.75">
      <c r="A40" s="78"/>
      <c r="O40">
        <v>1</v>
      </c>
      <c r="P40">
        <f>O40+1</f>
        <v>2</v>
      </c>
      <c r="Q40">
        <f t="shared" ref="Q40:S40" si="21">P40+1</f>
        <v>3</v>
      </c>
      <c r="R40">
        <f t="shared" si="21"/>
        <v>4</v>
      </c>
      <c r="S40">
        <f t="shared" si="21"/>
        <v>5</v>
      </c>
      <c r="T40" s="79"/>
    </row>
    <row r="41" spans="1:20" x14ac:dyDescent="0.75">
      <c r="A41" s="86" t="s">
        <v>23</v>
      </c>
      <c r="B41" s="87" t="s">
        <v>10</v>
      </c>
      <c r="C41" s="87"/>
      <c r="D41" s="87">
        <f>D30</f>
        <v>2013</v>
      </c>
      <c r="E41" s="87">
        <f t="shared" ref="E41:S41" si="22">E30</f>
        <v>2014</v>
      </c>
      <c r="F41" s="87">
        <f t="shared" si="22"/>
        <v>2015</v>
      </c>
      <c r="G41" s="87">
        <f t="shared" si="22"/>
        <v>2016</v>
      </c>
      <c r="H41" s="87">
        <f t="shared" si="22"/>
        <v>2017</v>
      </c>
      <c r="I41" s="87">
        <f t="shared" si="22"/>
        <v>2018</v>
      </c>
      <c r="J41" s="87">
        <f t="shared" si="22"/>
        <v>2019</v>
      </c>
      <c r="K41" s="87">
        <f t="shared" si="22"/>
        <v>2020</v>
      </c>
      <c r="L41" s="87">
        <f t="shared" si="22"/>
        <v>2021</v>
      </c>
      <c r="M41" s="87">
        <f t="shared" si="22"/>
        <v>2022</v>
      </c>
      <c r="N41" s="87">
        <f t="shared" si="22"/>
        <v>2023</v>
      </c>
      <c r="O41" s="87">
        <f t="shared" si="22"/>
        <v>2024</v>
      </c>
      <c r="P41" s="87">
        <f t="shared" si="22"/>
        <v>2025</v>
      </c>
      <c r="Q41" s="87">
        <f t="shared" si="22"/>
        <v>2026</v>
      </c>
      <c r="R41" s="87">
        <f t="shared" si="22"/>
        <v>2027</v>
      </c>
      <c r="S41" s="87">
        <f t="shared" si="22"/>
        <v>2028</v>
      </c>
      <c r="T41" s="100"/>
    </row>
    <row r="42" spans="1:20" x14ac:dyDescent="0.75">
      <c r="A42" s="78"/>
      <c r="T42" s="79"/>
    </row>
    <row r="43" spans="1:20" ht="16" x14ac:dyDescent="0.8">
      <c r="A43" s="78"/>
      <c r="B43" s="83" t="s">
        <v>25</v>
      </c>
      <c r="D43" s="30">
        <f>D20</f>
        <v>1314.223</v>
      </c>
      <c r="E43" s="30">
        <f t="shared" ref="E43:N43" si="23">E20</f>
        <v>1334.951</v>
      </c>
      <c r="F43" s="30">
        <f t="shared" si="23"/>
        <v>1405.239</v>
      </c>
      <c r="G43" s="30">
        <f t="shared" si="23"/>
        <v>1399.5509999999999</v>
      </c>
      <c r="H43" s="30">
        <f t="shared" si="23"/>
        <v>1567.0830000000001</v>
      </c>
      <c r="I43" s="30">
        <f t="shared" si="23"/>
        <v>1677.7339999999999</v>
      </c>
      <c r="J43" s="30">
        <f t="shared" si="23"/>
        <v>1787.1569999999999</v>
      </c>
      <c r="K43" s="30">
        <f t="shared" si="23"/>
        <v>1201.8140000000001</v>
      </c>
      <c r="L43" s="30">
        <f t="shared" si="23"/>
        <v>1866.1420000000001</v>
      </c>
      <c r="M43" s="30">
        <f t="shared" si="23"/>
        <v>2122.09</v>
      </c>
      <c r="N43" s="30">
        <f t="shared" si="23"/>
        <v>1981.5820000000001</v>
      </c>
      <c r="O43" s="101">
        <f>N43*(1+O44)</f>
        <v>2060.84528</v>
      </c>
      <c r="P43" s="101">
        <f t="shared" ref="P43:S43" ca="1" si="24">O43*(1+P44)</f>
        <v>2205.1044496</v>
      </c>
      <c r="Q43" s="101">
        <f t="shared" ca="1" si="24"/>
        <v>2337.4107165760001</v>
      </c>
      <c r="R43" s="101">
        <f t="shared" ca="1" si="24"/>
        <v>2489.3424131534402</v>
      </c>
      <c r="S43" s="101">
        <f t="shared" ca="1" si="24"/>
        <v>2663.5963820741813</v>
      </c>
      <c r="T43" s="79"/>
    </row>
    <row r="44" spans="1:20" ht="16" x14ac:dyDescent="0.8">
      <c r="A44" s="78"/>
      <c r="B44" s="102" t="s">
        <v>106</v>
      </c>
      <c r="D44" s="27">
        <f>D21</f>
        <v>0</v>
      </c>
      <c r="E44" s="27">
        <f t="shared" ref="E44:O44" si="25">E21</f>
        <v>1.577205694923926E-2</v>
      </c>
      <c r="F44" s="27">
        <f t="shared" si="25"/>
        <v>5.265211981563369E-2</v>
      </c>
      <c r="G44" s="27">
        <f t="shared" si="25"/>
        <v>-4.0477100336669429E-3</v>
      </c>
      <c r="H44" s="27">
        <f t="shared" si="25"/>
        <v>0.11970410510227934</v>
      </c>
      <c r="I44" s="27">
        <f t="shared" si="25"/>
        <v>7.0609533764325078E-2</v>
      </c>
      <c r="J44" s="27">
        <f t="shared" si="25"/>
        <v>6.5220708407888267E-2</v>
      </c>
      <c r="K44" s="27">
        <f t="shared" si="25"/>
        <v>-0.32752746401127592</v>
      </c>
      <c r="L44" s="27">
        <f t="shared" si="25"/>
        <v>0.55277106107933505</v>
      </c>
      <c r="M44" s="27">
        <f t="shared" si="25"/>
        <v>0.1371535499442165</v>
      </c>
      <c r="N44" s="27">
        <f t="shared" si="25"/>
        <v>-6.621208337063933E-2</v>
      </c>
      <c r="O44" s="27">
        <f t="shared" si="25"/>
        <v>0.04</v>
      </c>
      <c r="P44" s="27">
        <f ca="1">OFFSET(P45,D9,0)</f>
        <v>7.0000000000000007E-2</v>
      </c>
      <c r="Q44" s="27">
        <f ca="1">OFFSET(Q45,D9,0)</f>
        <v>0.06</v>
      </c>
      <c r="R44" s="27">
        <f ca="1">OFFSET(R45,D9,0)</f>
        <v>6.5000000000000002E-2</v>
      </c>
      <c r="S44" s="27">
        <f ca="1">OFFSET(S45,D9,0)</f>
        <v>7.0000000000000007E-2</v>
      </c>
      <c r="T44" s="79"/>
    </row>
    <row r="45" spans="1:20" ht="16" x14ac:dyDescent="0.8">
      <c r="A45" s="78"/>
      <c r="B45" s="103" t="s">
        <v>93</v>
      </c>
      <c r="N45"/>
      <c r="O45" s="34">
        <v>0.04</v>
      </c>
      <c r="P45" s="34">
        <f>P46*I9</f>
        <v>5.6000000000000008E-3</v>
      </c>
      <c r="Q45" s="34">
        <f>Q46*I9</f>
        <v>4.7999999999999996E-3</v>
      </c>
      <c r="R45" s="34">
        <f>R46*I9</f>
        <v>5.2000000000000006E-3</v>
      </c>
      <c r="S45" s="35">
        <v>0.03</v>
      </c>
      <c r="T45" s="79"/>
    </row>
    <row r="46" spans="1:20" ht="16" x14ac:dyDescent="0.8">
      <c r="A46" s="78"/>
      <c r="B46" s="103" t="s">
        <v>6</v>
      </c>
      <c r="N46"/>
      <c r="O46" s="33">
        <f>O21</f>
        <v>0.04</v>
      </c>
      <c r="P46" s="33">
        <f t="shared" ref="P46:Q46" si="26">P21</f>
        <v>7.0000000000000007E-2</v>
      </c>
      <c r="Q46" s="33">
        <f t="shared" si="26"/>
        <v>0.06</v>
      </c>
      <c r="R46" s="32">
        <f>AVERAGE(Q46,S46)</f>
        <v>6.5000000000000002E-2</v>
      </c>
      <c r="S46" s="36">
        <v>7.0000000000000007E-2</v>
      </c>
      <c r="T46" s="79"/>
    </row>
    <row r="47" spans="1:20" ht="16" x14ac:dyDescent="0.8">
      <c r="A47" s="78"/>
      <c r="B47" s="103" t="s">
        <v>94</v>
      </c>
      <c r="O47" s="37">
        <v>0.04</v>
      </c>
      <c r="P47" s="37">
        <f>P46*Q9</f>
        <v>1.4000000000000002E-2</v>
      </c>
      <c r="Q47" s="37">
        <f>Q46*Q9</f>
        <v>1.2E-2</v>
      </c>
      <c r="R47" s="37">
        <f>R46*Q9</f>
        <v>1.3000000000000001E-2</v>
      </c>
      <c r="S47" s="38">
        <v>0.1</v>
      </c>
      <c r="T47" s="79"/>
    </row>
    <row r="48" spans="1:20" ht="16" x14ac:dyDescent="0.8">
      <c r="A48" s="78"/>
      <c r="B48" s="83"/>
      <c r="T48" s="79"/>
    </row>
    <row r="49" spans="1:20" ht="16" x14ac:dyDescent="0.8">
      <c r="A49" s="78"/>
      <c r="B49" s="83" t="s">
        <v>107</v>
      </c>
      <c r="D49" s="30">
        <f>D23</f>
        <v>203.768</v>
      </c>
      <c r="E49" s="30">
        <f t="shared" ref="E49:N49" si="27">E23</f>
        <v>167.642</v>
      </c>
      <c r="F49" s="30">
        <f t="shared" si="27"/>
        <v>171.648</v>
      </c>
      <c r="G49" s="30">
        <f t="shared" si="27"/>
        <v>169.17599999999999</v>
      </c>
      <c r="H49" s="30">
        <f t="shared" si="27"/>
        <v>169.78399999999999</v>
      </c>
      <c r="I49" s="30">
        <f t="shared" si="27"/>
        <v>173.38200000000001</v>
      </c>
      <c r="J49" s="30">
        <f t="shared" si="27"/>
        <v>176.81399999999999</v>
      </c>
      <c r="K49" s="30">
        <f t="shared" si="27"/>
        <v>-75.878</v>
      </c>
      <c r="L49" s="30">
        <f t="shared" si="27"/>
        <v>243.59700000000001</v>
      </c>
      <c r="M49" s="30">
        <f t="shared" si="27"/>
        <v>281.64400000000001</v>
      </c>
      <c r="N49" s="30">
        <f t="shared" si="27"/>
        <v>213.22200000000001</v>
      </c>
      <c r="O49" s="30">
        <f ca="1">N49*(1+O50)</f>
        <v>238.84296952680307</v>
      </c>
      <c r="P49" s="30">
        <f t="shared" ref="P49:S49" ca="1" si="28">O49*(1+P50)</f>
        <v>266.04275436916021</v>
      </c>
      <c r="Q49" s="30">
        <f t="shared" ca="1" si="28"/>
        <v>297.1754045180939</v>
      </c>
      <c r="R49" s="30">
        <f t="shared" ca="1" si="28"/>
        <v>331.95123565721906</v>
      </c>
      <c r="S49" s="30">
        <f t="shared" ca="1" si="28"/>
        <v>370.79657730438259</v>
      </c>
      <c r="T49" s="79"/>
    </row>
    <row r="50" spans="1:20" ht="16" x14ac:dyDescent="0.8">
      <c r="A50" s="78"/>
      <c r="B50" s="102" t="s">
        <v>14</v>
      </c>
      <c r="D50" s="27">
        <f>D24</f>
        <v>0.15504826806409566</v>
      </c>
      <c r="E50" s="27">
        <f t="shared" ref="E50:N50" si="29">E24</f>
        <v>0.12557914110705187</v>
      </c>
      <c r="F50" s="27">
        <f t="shared" si="29"/>
        <v>0.12214861671217493</v>
      </c>
      <c r="G50" s="27">
        <f t="shared" si="29"/>
        <v>0.12087876754759205</v>
      </c>
      <c r="H50" s="27">
        <f t="shared" si="29"/>
        <v>0.10834397412262145</v>
      </c>
      <c r="I50" s="27">
        <f t="shared" si="29"/>
        <v>0.10334296139912526</v>
      </c>
      <c r="J50" s="27">
        <f t="shared" si="29"/>
        <v>9.8935907701449846E-2</v>
      </c>
      <c r="K50" s="27">
        <f t="shared" si="29"/>
        <v>-6.3136225738758239E-2</v>
      </c>
      <c r="L50" s="27">
        <f t="shared" si="29"/>
        <v>0.13053508253927085</v>
      </c>
      <c r="M50" s="27">
        <f t="shared" si="29"/>
        <v>0.13272010140945953</v>
      </c>
      <c r="N50" s="27">
        <f t="shared" si="29"/>
        <v>0.10760190595191114</v>
      </c>
      <c r="O50" s="27">
        <f ca="1">OFFSET(O51,D10,0)</f>
        <v>0.12016100368068533</v>
      </c>
      <c r="P50" s="27">
        <f ca="1">OFFSET(P51,D10,0)</f>
        <v>0.11388145481629824</v>
      </c>
      <c r="Q50" s="27">
        <f ca="1">OFFSET(Q51,D10,0)</f>
        <v>0.11702122924849179</v>
      </c>
      <c r="R50" s="27">
        <f ca="1">OFFSET(R51,D10,0)</f>
        <v>0.11702122924849179</v>
      </c>
      <c r="S50" s="27">
        <f ca="1">OFFSET(S51,D10,0)</f>
        <v>0.11702122924849179</v>
      </c>
      <c r="T50" s="79"/>
    </row>
    <row r="51" spans="1:20" ht="16" x14ac:dyDescent="0.8">
      <c r="A51" s="78"/>
      <c r="B51" s="103" t="s">
        <v>93</v>
      </c>
      <c r="O51" s="34">
        <f>O52</f>
        <v>0.12016100368068533</v>
      </c>
      <c r="P51" s="34">
        <f>P52*I11</f>
        <v>7.9717018371408765E-2</v>
      </c>
      <c r="Q51" s="34">
        <f>Q52*I11</f>
        <v>8.1914860473944251E-2</v>
      </c>
      <c r="R51" s="34">
        <f>R52*I11</f>
        <v>8.1914860473944251E-2</v>
      </c>
      <c r="S51" s="34">
        <f>S52*I11</f>
        <v>8.1914860473944251E-2</v>
      </c>
      <c r="T51" s="79"/>
    </row>
    <row r="52" spans="1:20" ht="16" x14ac:dyDescent="0.8">
      <c r="A52" s="78"/>
      <c r="B52" s="103" t="s">
        <v>6</v>
      </c>
      <c r="O52" s="34">
        <f>O24</f>
        <v>0.12016100368068533</v>
      </c>
      <c r="P52" s="34">
        <f t="shared" ref="P52:Q52" si="30">P24</f>
        <v>0.11388145481629824</v>
      </c>
      <c r="Q52" s="34">
        <f t="shared" si="30"/>
        <v>0.11702122924849179</v>
      </c>
      <c r="R52" s="34">
        <f>Q52</f>
        <v>0.11702122924849179</v>
      </c>
      <c r="S52" s="34">
        <f t="shared" ref="S52" si="31">R52</f>
        <v>0.11702122924849179</v>
      </c>
      <c r="T52" s="79"/>
    </row>
    <row r="53" spans="1:20" ht="16" x14ac:dyDescent="0.8">
      <c r="A53" s="78"/>
      <c r="B53" s="103" t="s">
        <v>94</v>
      </c>
      <c r="O53" s="33">
        <f>O52</f>
        <v>0.12016100368068533</v>
      </c>
      <c r="P53" s="33">
        <f>P52*Q11</f>
        <v>0.13665774577955789</v>
      </c>
      <c r="Q53" s="33">
        <f>Q52*Q11</f>
        <v>0.14042547509819014</v>
      </c>
      <c r="R53" s="32">
        <f>R52*Q11</f>
        <v>0.14042547509819014</v>
      </c>
      <c r="S53" s="36">
        <f>S52*Q11</f>
        <v>0.14042547509819014</v>
      </c>
      <c r="T53" s="79"/>
    </row>
    <row r="54" spans="1:20" ht="16" x14ac:dyDescent="0.8">
      <c r="A54" s="78"/>
      <c r="B54" s="83"/>
      <c r="T54" s="79"/>
    </row>
    <row r="55" spans="1:20" ht="16" x14ac:dyDescent="0.8">
      <c r="A55" s="78"/>
      <c r="B55" s="83" t="s">
        <v>15</v>
      </c>
      <c r="D55" s="30">
        <f>D26</f>
        <v>75.665999999999997</v>
      </c>
      <c r="E55" s="30">
        <f t="shared" ref="E55:N55" si="32">E26</f>
        <v>58.764000000000003</v>
      </c>
      <c r="F55" s="30">
        <f t="shared" si="32"/>
        <v>58.811</v>
      </c>
      <c r="G55" s="30">
        <f t="shared" si="32"/>
        <v>49.725999999999999</v>
      </c>
      <c r="H55" s="30">
        <f t="shared" si="32"/>
        <v>53.189</v>
      </c>
      <c r="I55" s="30">
        <f t="shared" si="32"/>
        <v>46.841000000000001</v>
      </c>
      <c r="J55" s="30">
        <f t="shared" si="32"/>
        <v>39.503999999999998</v>
      </c>
      <c r="K55" s="30">
        <f t="shared" si="32"/>
        <v>-11.704000000000001</v>
      </c>
      <c r="L55" s="30">
        <f t="shared" si="32"/>
        <v>49.609000000000002</v>
      </c>
      <c r="M55" s="30">
        <f t="shared" si="32"/>
        <v>65.102999999999994</v>
      </c>
      <c r="N55" s="30">
        <f t="shared" si="32"/>
        <v>46.639000000000003</v>
      </c>
      <c r="O55" s="104">
        <f ca="1">N55*(1+O56)</f>
        <v>56.89958</v>
      </c>
      <c r="P55" s="104">
        <f t="shared" ref="P55:S55" ca="1" si="33">O55*(1+P56)</f>
        <v>66.288010700000001</v>
      </c>
      <c r="Q55" s="104">
        <f t="shared" ca="1" si="33"/>
        <v>73.579691877000002</v>
      </c>
      <c r="R55" s="104">
        <f t="shared" ca="1" si="33"/>
        <v>77.626574930234995</v>
      </c>
      <c r="S55" s="104">
        <f t="shared" ca="1" si="33"/>
        <v>77.626574930234995</v>
      </c>
      <c r="T55" s="79"/>
    </row>
    <row r="56" spans="1:20" ht="16" x14ac:dyDescent="0.8">
      <c r="A56" s="78"/>
      <c r="B56" s="83" t="s">
        <v>108</v>
      </c>
      <c r="D56" s="27">
        <f>D27</f>
        <v>0.37133406619292525</v>
      </c>
      <c r="E56" s="27">
        <f t="shared" ref="E56:N56" si="34">E27</f>
        <v>0.35053268274060201</v>
      </c>
      <c r="F56" s="27">
        <f t="shared" si="34"/>
        <v>0.34262560589112601</v>
      </c>
      <c r="G56" s="27">
        <f t="shared" si="34"/>
        <v>0.29393058116990589</v>
      </c>
      <c r="H56" s="27">
        <f t="shared" si="34"/>
        <v>0.31327451349950525</v>
      </c>
      <c r="I56" s="27">
        <f t="shared" si="34"/>
        <v>0.27016068565364337</v>
      </c>
      <c r="J56" s="27">
        <f t="shared" si="34"/>
        <v>0.22342122230140146</v>
      </c>
      <c r="K56" s="27">
        <f t="shared" si="34"/>
        <v>0.15424760800231951</v>
      </c>
      <c r="L56" s="27">
        <f t="shared" si="34"/>
        <v>0.20365193331609174</v>
      </c>
      <c r="M56" s="27">
        <f t="shared" si="34"/>
        <v>0.23115351294542044</v>
      </c>
      <c r="N56" s="27">
        <f t="shared" si="34"/>
        <v>0.21873446454868636</v>
      </c>
      <c r="O56" s="27">
        <f ca="1">OFFSET(O57,$D$11,0)</f>
        <v>0.22</v>
      </c>
      <c r="P56" s="27">
        <f t="shared" ref="P56" ca="1" si="35">OFFSET(P57,$D$11,0)</f>
        <v>0.16500000000000001</v>
      </c>
      <c r="Q56" s="27">
        <f t="shared" ref="Q56:S56" ca="1" si="36">OFFSET(Q57,$D$11,0)</f>
        <v>0.11000000000000001</v>
      </c>
      <c r="R56" s="27">
        <f t="shared" ca="1" si="36"/>
        <v>5.5000000000000007E-2</v>
      </c>
      <c r="S56" s="27">
        <f t="shared" ca="1" si="36"/>
        <v>0</v>
      </c>
      <c r="T56" s="79"/>
    </row>
    <row r="57" spans="1:20" ht="16" x14ac:dyDescent="0.8">
      <c r="A57" s="78"/>
      <c r="B57" s="103" t="s">
        <v>6</v>
      </c>
      <c r="O57" s="34">
        <v>0.22</v>
      </c>
      <c r="P57" s="34">
        <f>O57+(S57-O57)/(S41-O41)</f>
        <v>0.16500000000000001</v>
      </c>
      <c r="Q57" s="34">
        <f>P57+(S57-P57)/(S41-P41)</f>
        <v>0.11000000000000001</v>
      </c>
      <c r="R57" s="34">
        <f>Q57+(S57-Q57)/(S41-Q41)</f>
        <v>5.5000000000000007E-2</v>
      </c>
      <c r="S57" s="34">
        <f>M16</f>
        <v>0</v>
      </c>
      <c r="T57" s="79"/>
    </row>
    <row r="58" spans="1:20" x14ac:dyDescent="0.75">
      <c r="A58" s="78"/>
      <c r="T58" s="79"/>
    </row>
    <row r="59" spans="1:20" x14ac:dyDescent="0.75">
      <c r="A59" s="78"/>
      <c r="T59" s="79"/>
    </row>
    <row r="60" spans="1:20" s="50" customFormat="1" x14ac:dyDescent="0.75">
      <c r="A60" s="49"/>
      <c r="B60" s="50" t="s">
        <v>113</v>
      </c>
      <c r="N60" s="51">
        <f>N49-N55</f>
        <v>166.583</v>
      </c>
      <c r="O60" s="50">
        <f ca="1">O49-O55</f>
        <v>181.94338952680306</v>
      </c>
      <c r="P60" s="50">
        <f t="shared" ref="P60:S60" ca="1" si="37">P49-P55</f>
        <v>199.75474366916021</v>
      </c>
      <c r="Q60" s="50">
        <f t="shared" ca="1" si="37"/>
        <v>223.59571264109388</v>
      </c>
      <c r="R60" s="50">
        <f t="shared" ca="1" si="37"/>
        <v>254.32466072698406</v>
      </c>
      <c r="S60" s="50">
        <f t="shared" ca="1" si="37"/>
        <v>293.1700023741476</v>
      </c>
      <c r="T60" s="105"/>
    </row>
    <row r="61" spans="1:20" x14ac:dyDescent="0.75">
      <c r="A61" s="78"/>
      <c r="T61" s="79"/>
    </row>
    <row r="62" spans="1:20" s="30" customFormat="1" x14ac:dyDescent="0.75">
      <c r="A62" s="106"/>
      <c r="B62" s="107" t="s">
        <v>19</v>
      </c>
      <c r="D62" s="30">
        <f>D31</f>
        <v>12.978999999999999</v>
      </c>
      <c r="E62" s="30">
        <f t="shared" ref="E62:N62" si="38">E31</f>
        <v>15.077</v>
      </c>
      <c r="F62" s="30">
        <f t="shared" si="38"/>
        <v>20.757000000000001</v>
      </c>
      <c r="G62" s="30">
        <f t="shared" si="38"/>
        <v>21.102</v>
      </c>
      <c r="H62" s="30">
        <f t="shared" si="38"/>
        <v>22.388999999999999</v>
      </c>
      <c r="I62" s="30">
        <f t="shared" si="38"/>
        <v>22.481999999999999</v>
      </c>
      <c r="J62" s="30">
        <f t="shared" si="38"/>
        <v>27.27</v>
      </c>
      <c r="K62" s="30">
        <f t="shared" si="38"/>
        <v>98.528000000000006</v>
      </c>
      <c r="L62" s="30">
        <f t="shared" si="38"/>
        <v>19.260000000000002</v>
      </c>
      <c r="M62" s="30">
        <f t="shared" si="38"/>
        <v>20.576000000000001</v>
      </c>
      <c r="N62" s="30">
        <f t="shared" si="38"/>
        <v>22.021000000000001</v>
      </c>
      <c r="O62" s="30">
        <f>O63*O43</f>
        <v>58.276806286058367</v>
      </c>
      <c r="P62" s="30">
        <f t="shared" ref="P62:S62" ca="1" si="39">P63*P43</f>
        <v>32.750104367986957</v>
      </c>
      <c r="Q62" s="30">
        <f t="shared" ca="1" si="39"/>
        <v>37.362925691856645</v>
      </c>
      <c r="R62" s="30">
        <f t="shared" ca="1" si="39"/>
        <v>43.705165660160567</v>
      </c>
      <c r="S62" s="30">
        <f t="shared" ca="1" si="39"/>
        <v>51.055630213514171</v>
      </c>
      <c r="T62" s="108"/>
    </row>
    <row r="63" spans="1:20" s="27" customFormat="1" ht="16" x14ac:dyDescent="0.8">
      <c r="A63" s="93"/>
      <c r="B63" s="94" t="s">
        <v>20</v>
      </c>
      <c r="D63" s="27">
        <f>D62/D43</f>
        <v>9.8757973342423616E-3</v>
      </c>
      <c r="E63" s="27">
        <f t="shared" ref="E63:N63" si="40">E62/E43</f>
        <v>1.1294047496874416E-2</v>
      </c>
      <c r="F63" s="27">
        <f t="shared" si="40"/>
        <v>1.4771152807458375E-2</v>
      </c>
      <c r="G63" s="27">
        <f t="shared" si="40"/>
        <v>1.5077692774325481E-2</v>
      </c>
      <c r="H63" s="27">
        <f t="shared" si="40"/>
        <v>1.4287054355129881E-2</v>
      </c>
      <c r="I63" s="27">
        <f t="shared" si="40"/>
        <v>1.3400217197720259E-2</v>
      </c>
      <c r="J63" s="27">
        <f t="shared" si="40"/>
        <v>1.5258872052091674E-2</v>
      </c>
      <c r="K63" s="27">
        <f t="shared" si="40"/>
        <v>8.1982736097266293E-2</v>
      </c>
      <c r="L63" s="27">
        <f t="shared" si="40"/>
        <v>1.0320758013055813E-2</v>
      </c>
      <c r="M63" s="27">
        <f t="shared" si="40"/>
        <v>9.6961014848569102E-3</v>
      </c>
      <c r="N63" s="27">
        <f t="shared" si="40"/>
        <v>1.1112838126305143E-2</v>
      </c>
      <c r="O63" s="34">
        <f>AVERAGE(K63:N63)</f>
        <v>2.8278108430371041E-2</v>
      </c>
      <c r="P63" s="34">
        <f t="shared" ref="P63:S63" si="41">AVERAGE(L63:O63)</f>
        <v>1.4851951513647228E-2</v>
      </c>
      <c r="Q63" s="34">
        <f t="shared" si="41"/>
        <v>1.5984749888795079E-2</v>
      </c>
      <c r="R63" s="34">
        <f t="shared" si="41"/>
        <v>1.7556911989779621E-2</v>
      </c>
      <c r="S63" s="34">
        <f t="shared" si="41"/>
        <v>1.9167930455648241E-2</v>
      </c>
      <c r="T63" s="96"/>
    </row>
    <row r="64" spans="1:20" x14ac:dyDescent="0.75">
      <c r="A64" s="78"/>
      <c r="T64" s="79"/>
    </row>
    <row r="65" spans="1:20" s="44" customFormat="1" x14ac:dyDescent="0.75">
      <c r="A65" s="109"/>
      <c r="B65" s="107" t="s">
        <v>21</v>
      </c>
      <c r="C65" s="107"/>
      <c r="D65" s="107">
        <f>D34</f>
        <v>-20.745999999999999</v>
      </c>
      <c r="E65" s="107">
        <f t="shared" ref="E65:N65" si="42">E34</f>
        <v>-18.341000000000001</v>
      </c>
      <c r="F65" s="107">
        <f t="shared" si="42"/>
        <v>-19.459</v>
      </c>
      <c r="G65" s="107">
        <f t="shared" si="42"/>
        <v>-15.897</v>
      </c>
      <c r="H65" s="107">
        <f t="shared" si="42"/>
        <v>-14.775</v>
      </c>
      <c r="I65" s="107">
        <f t="shared" si="42"/>
        <v>-12.45</v>
      </c>
      <c r="J65" s="107">
        <f t="shared" si="42"/>
        <v>-18.311</v>
      </c>
      <c r="K65" s="107">
        <f t="shared" si="42"/>
        <v>-6.5620000000000003</v>
      </c>
      <c r="L65" s="107">
        <f t="shared" si="42"/>
        <v>-6.6079999999999997</v>
      </c>
      <c r="M65" s="107">
        <f t="shared" si="42"/>
        <v>-16.350999999999999</v>
      </c>
      <c r="N65" s="107">
        <f t="shared" si="42"/>
        <v>-19.47</v>
      </c>
      <c r="O65" s="107">
        <f>O66*O43</f>
        <v>-14.475114755946207</v>
      </c>
      <c r="P65" s="107">
        <f t="shared" ref="P65:S65" ca="1" si="43">P66*P43</f>
        <v>-18.048408907942438</v>
      </c>
      <c r="Q65" s="107">
        <f t="shared" ca="1" si="43"/>
        <v>-19.505059186204388</v>
      </c>
      <c r="R65" s="107">
        <f t="shared" ca="1" si="43"/>
        <v>-19.544186963610233</v>
      </c>
      <c r="S65" s="107">
        <f t="shared" ca="1" si="43"/>
        <v>-21.646786160003579</v>
      </c>
      <c r="T65" s="110"/>
    </row>
    <row r="66" spans="1:20" s="27" customFormat="1" ht="16" x14ac:dyDescent="0.8">
      <c r="A66" s="93"/>
      <c r="B66" s="27" t="s">
        <v>14</v>
      </c>
      <c r="D66" s="27">
        <f>D65/D43</f>
        <v>-1.5785753254965101E-2</v>
      </c>
      <c r="E66" s="27">
        <f t="shared" ref="E66:N66" si="44">E65/E43</f>
        <v>-1.3739081059904071E-2</v>
      </c>
      <c r="F66" s="27">
        <f t="shared" si="44"/>
        <v>-1.3847466516371948E-2</v>
      </c>
      <c r="G66" s="27">
        <f t="shared" si="44"/>
        <v>-1.1358642879037635E-2</v>
      </c>
      <c r="H66" s="27">
        <f t="shared" si="44"/>
        <v>-9.4283455311556571E-3</v>
      </c>
      <c r="I66" s="27">
        <f t="shared" si="44"/>
        <v>-7.4207234281477279E-3</v>
      </c>
      <c r="J66" s="27">
        <f t="shared" si="44"/>
        <v>-1.024588214689588E-2</v>
      </c>
      <c r="K66" s="27">
        <f t="shared" si="44"/>
        <v>-5.460079513135976E-3</v>
      </c>
      <c r="L66" s="27">
        <f t="shared" si="44"/>
        <v>-3.5409952725998341E-3</v>
      </c>
      <c r="M66" s="27">
        <f t="shared" si="44"/>
        <v>-7.7051397443086761E-3</v>
      </c>
      <c r="N66" s="27">
        <f t="shared" si="44"/>
        <v>-9.8254828717660933E-3</v>
      </c>
      <c r="O66" s="34">
        <f>AVERAGE(L66:N66)</f>
        <v>-7.0238726295582012E-3</v>
      </c>
      <c r="P66" s="34">
        <f t="shared" ref="P66:S66" si="45">AVERAGE(M66:O66)</f>
        <v>-8.1848317485443238E-3</v>
      </c>
      <c r="Q66" s="34">
        <f t="shared" si="45"/>
        <v>-8.3447290832895388E-3</v>
      </c>
      <c r="R66" s="34">
        <f t="shared" si="45"/>
        <v>-7.8511444871306874E-3</v>
      </c>
      <c r="S66" s="34">
        <f t="shared" si="45"/>
        <v>-8.1269017729881845E-3</v>
      </c>
      <c r="T66" s="96"/>
    </row>
    <row r="67" spans="1:20" x14ac:dyDescent="0.75">
      <c r="A67" s="78"/>
      <c r="T67" s="79"/>
    </row>
    <row r="68" spans="1:20" s="44" customFormat="1" x14ac:dyDescent="0.75">
      <c r="A68" s="109"/>
      <c r="B68" s="107" t="s">
        <v>22</v>
      </c>
      <c r="C68" s="107"/>
      <c r="D68" s="107">
        <f>D37</f>
        <v>-15.516999999999999</v>
      </c>
      <c r="E68" s="107">
        <f t="shared" ref="E68:N68" si="46">E37</f>
        <v>3.5139999999999998</v>
      </c>
      <c r="F68" s="107">
        <f t="shared" si="46"/>
        <v>-13.53</v>
      </c>
      <c r="G68" s="107">
        <f t="shared" si="46"/>
        <v>-5.1459999999999999</v>
      </c>
      <c r="H68" s="107">
        <f t="shared" si="46"/>
        <v>17.666</v>
      </c>
      <c r="I68" s="107">
        <f t="shared" si="46"/>
        <v>-30.407</v>
      </c>
      <c r="J68" s="107">
        <f t="shared" si="46"/>
        <v>28.73</v>
      </c>
      <c r="K68" s="107">
        <f t="shared" si="46"/>
        <v>41.970999999999997</v>
      </c>
      <c r="L68" s="107">
        <f t="shared" si="46"/>
        <v>-79.283000000000001</v>
      </c>
      <c r="M68" s="107">
        <f t="shared" si="46"/>
        <v>10.605</v>
      </c>
      <c r="N68" s="107">
        <f t="shared" si="46"/>
        <v>2.8069999999999999</v>
      </c>
      <c r="O68" s="107">
        <f>O69*O43</f>
        <v>-24.778916895961611</v>
      </c>
      <c r="P68" s="107">
        <f t="shared" ref="P68:S68" ca="1" si="47">P69*P43</f>
        <v>-4.123317476761394</v>
      </c>
      <c r="Q68" s="107">
        <f t="shared" ca="1" si="47"/>
        <v>-9.7213055642555801</v>
      </c>
      <c r="R68" s="107">
        <f t="shared" ca="1" si="47"/>
        <v>-14.979675719722923</v>
      </c>
      <c r="S68" s="107">
        <f t="shared" ca="1" si="47"/>
        <v>-10.695605597444345</v>
      </c>
      <c r="T68" s="110"/>
    </row>
    <row r="69" spans="1:20" s="27" customFormat="1" ht="16" x14ac:dyDescent="0.8">
      <c r="A69" s="93"/>
      <c r="B69" s="27" t="s">
        <v>20</v>
      </c>
      <c r="D69" s="27">
        <f>D38</f>
        <v>-1.1806976441593245E-2</v>
      </c>
      <c r="E69" s="27">
        <f t="shared" ref="E69:N69" si="48">E38</f>
        <v>2.6323063543156264E-3</v>
      </c>
      <c r="F69" s="27">
        <f t="shared" si="48"/>
        <v>-9.6282554070873348E-3</v>
      </c>
      <c r="G69" s="27">
        <f t="shared" si="48"/>
        <v>-3.6768935179925565E-3</v>
      </c>
      <c r="H69" s="27">
        <f t="shared" si="48"/>
        <v>1.1273174426625775E-2</v>
      </c>
      <c r="I69" s="27">
        <f t="shared" si="48"/>
        <v>-1.8123850383910681E-2</v>
      </c>
      <c r="J69" s="27">
        <f t="shared" si="48"/>
        <v>1.6075812029944767E-2</v>
      </c>
      <c r="K69" s="27">
        <f t="shared" si="48"/>
        <v>3.4923041335847303E-2</v>
      </c>
      <c r="L69" s="27">
        <f t="shared" si="48"/>
        <v>-4.248497702747165E-2</v>
      </c>
      <c r="M69" s="27">
        <f t="shared" si="48"/>
        <v>4.9974317771630796E-3</v>
      </c>
      <c r="N69" s="27">
        <f t="shared" si="48"/>
        <v>1.4165449625602169E-3</v>
      </c>
      <c r="O69" s="34">
        <f>AVERAGE(L69:N69)</f>
        <v>-1.2023666762582784E-2</v>
      </c>
      <c r="P69" s="34">
        <f t="shared" ref="P69:S69" si="49">AVERAGE(M69:O69)</f>
        <v>-1.8698966742864958E-3</v>
      </c>
      <c r="Q69" s="34">
        <f t="shared" si="49"/>
        <v>-4.1590061581030209E-3</v>
      </c>
      <c r="R69" s="34">
        <f t="shared" si="49"/>
        <v>-6.0175231983241005E-3</v>
      </c>
      <c r="S69" s="34">
        <f t="shared" si="49"/>
        <v>-4.0154753435712063E-3</v>
      </c>
      <c r="T69" s="96"/>
    </row>
    <row r="70" spans="1:20" x14ac:dyDescent="0.75">
      <c r="A70" s="78"/>
      <c r="T70" s="79"/>
    </row>
    <row r="71" spans="1:20" s="46" customFormat="1" x14ac:dyDescent="0.75">
      <c r="A71" s="45"/>
      <c r="B71" s="46" t="s">
        <v>114</v>
      </c>
      <c r="N71" s="48">
        <f>N60+N62-N65-N68</f>
        <v>205.267</v>
      </c>
      <c r="O71" s="48">
        <f t="shared" ref="O71:S71" ca="1" si="50">O60+O62-O65-O68</f>
        <v>279.47422746476923</v>
      </c>
      <c r="P71" s="48">
        <f t="shared" ca="1" si="50"/>
        <v>254.676574421851</v>
      </c>
      <c r="Q71" s="48">
        <f t="shared" ca="1" si="50"/>
        <v>290.18500308341049</v>
      </c>
      <c r="R71" s="48">
        <f t="shared" ca="1" si="50"/>
        <v>332.55368907047779</v>
      </c>
      <c r="S71" s="48">
        <f t="shared" ca="1" si="50"/>
        <v>376.56802434510968</v>
      </c>
      <c r="T71" s="111"/>
    </row>
    <row r="72" spans="1:20" s="46" customFormat="1" x14ac:dyDescent="0.75">
      <c r="A72" s="45"/>
      <c r="B72" s="46" t="s">
        <v>115</v>
      </c>
      <c r="N72" s="47"/>
      <c r="O72" s="48">
        <f ca="1">O71/(1+$D$16)^O40</f>
        <v>257.08235439680732</v>
      </c>
      <c r="P72" s="48">
        <f t="shared" ref="P72:S72" ca="1" si="51">P71/(1+$D$16)^P40</f>
        <v>215.50135647764895</v>
      </c>
      <c r="Q72" s="48">
        <f t="shared" ca="1" si="51"/>
        <v>225.87412172140151</v>
      </c>
      <c r="R72" s="48">
        <f t="shared" ca="1" si="51"/>
        <v>238.11337291570462</v>
      </c>
      <c r="S72" s="48">
        <f t="shared" ca="1" si="51"/>
        <v>248.02528716263132</v>
      </c>
      <c r="T72" s="111"/>
    </row>
    <row r="73" spans="1:20" x14ac:dyDescent="0.75">
      <c r="A73" s="78"/>
      <c r="T73" s="79"/>
    </row>
    <row r="74" spans="1:20" x14ac:dyDescent="0.75">
      <c r="A74" s="78"/>
      <c r="T74" s="79"/>
    </row>
    <row r="75" spans="1:20" x14ac:dyDescent="0.75">
      <c r="A75" s="78"/>
      <c r="B75" s="66" t="s">
        <v>129</v>
      </c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2"/>
      <c r="P75" s="43"/>
      <c r="Q75" s="43"/>
      <c r="R75" s="43"/>
      <c r="S75" s="67">
        <f ca="1">S71*(1+D17)/(D16-D17)</f>
        <v>5724.2829334129929</v>
      </c>
      <c r="T75" s="79"/>
    </row>
    <row r="76" spans="1:20" x14ac:dyDescent="0.75">
      <c r="A76" s="78"/>
      <c r="B76" s="45" t="s">
        <v>130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"/>
      <c r="P76" s="4"/>
      <c r="Q76" s="4"/>
      <c r="R76" s="4"/>
      <c r="S76" s="70">
        <f ca="1">S75/(1+D16)^S40</f>
        <v>3770.2800731130242</v>
      </c>
      <c r="T76" s="79"/>
    </row>
    <row r="77" spans="1:20" x14ac:dyDescent="0.75">
      <c r="A77" s="78"/>
      <c r="B77" s="3" t="s">
        <v>131</v>
      </c>
      <c r="S77" s="104">
        <f ca="1">SUM(O72:S72,S76)</f>
        <v>4954.8765657872182</v>
      </c>
      <c r="T77" s="79"/>
    </row>
    <row r="78" spans="1:20" x14ac:dyDescent="0.75">
      <c r="A78" s="78"/>
      <c r="B78" t="s">
        <v>132</v>
      </c>
      <c r="S78" s="112">
        <f>'Balance sheet'!L2</f>
        <v>219.81299999999999</v>
      </c>
      <c r="T78" s="79"/>
    </row>
    <row r="79" spans="1:20" x14ac:dyDescent="0.75">
      <c r="A79" s="78"/>
      <c r="B79" s="3" t="s">
        <v>133</v>
      </c>
      <c r="S79" s="61">
        <f>WACC!C7</f>
        <v>201.40100000000001</v>
      </c>
      <c r="T79" s="79"/>
    </row>
    <row r="80" spans="1:20" x14ac:dyDescent="0.75">
      <c r="A80" s="78"/>
      <c r="B80" s="3" t="s">
        <v>134</v>
      </c>
      <c r="S80" s="104">
        <f ca="1">S77+S78-S79</f>
        <v>4973.2885657872184</v>
      </c>
      <c r="T80" s="79"/>
    </row>
    <row r="81" spans="1:20" x14ac:dyDescent="0.75">
      <c r="A81" s="78"/>
      <c r="S81" s="104"/>
      <c r="T81" s="79"/>
    </row>
    <row r="82" spans="1:20" x14ac:dyDescent="0.75">
      <c r="A82" s="78"/>
      <c r="B82" t="s">
        <v>136</v>
      </c>
      <c r="S82" s="104">
        <f>75+73</f>
        <v>148</v>
      </c>
      <c r="T82" s="79"/>
    </row>
    <row r="83" spans="1:20" x14ac:dyDescent="0.75">
      <c r="A83" s="5"/>
      <c r="B83" s="5" t="s">
        <v>135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3"/>
      <c r="O83" s="5"/>
      <c r="P83" s="5"/>
      <c r="Q83" s="5"/>
      <c r="R83" s="5"/>
      <c r="S83" s="115">
        <f ca="1">S80/S82</f>
        <v>33.603301120183907</v>
      </c>
      <c r="T83" s="1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6792-5ADD-495A-BAA8-8A03C6613338}">
  <dimension ref="A1:C21"/>
  <sheetViews>
    <sheetView topLeftCell="A5" workbookViewId="0">
      <selection activeCell="C7" sqref="C7"/>
    </sheetView>
  </sheetViews>
  <sheetFormatPr defaultRowHeight="14.75" x14ac:dyDescent="0.75"/>
  <cols>
    <col min="1" max="1" width="68.40625" bestFit="1" customWidth="1"/>
    <col min="3" max="3" width="5.6796875" style="61" bestFit="1" customWidth="1"/>
  </cols>
  <sheetData>
    <row r="1" spans="1:3" ht="21.75" x14ac:dyDescent="1.1000000000000001">
      <c r="A1" s="52" t="s">
        <v>97</v>
      </c>
      <c r="B1" s="1"/>
      <c r="C1" s="60"/>
    </row>
    <row r="3" spans="1:3" x14ac:dyDescent="0.75">
      <c r="A3" s="53" t="s">
        <v>97</v>
      </c>
      <c r="B3" s="54"/>
      <c r="C3" s="62"/>
    </row>
    <row r="4" spans="1:3" x14ac:dyDescent="0.75">
      <c r="A4" s="3" t="s">
        <v>116</v>
      </c>
    </row>
    <row r="5" spans="1:3" x14ac:dyDescent="0.75">
      <c r="A5" s="3" t="s">
        <v>117</v>
      </c>
    </row>
    <row r="7" spans="1:3" x14ac:dyDescent="0.75">
      <c r="A7" t="s">
        <v>118</v>
      </c>
      <c r="C7" s="63">
        <f>'Balance sheet'!B16</f>
        <v>201.40100000000001</v>
      </c>
    </row>
    <row r="8" spans="1:3" x14ac:dyDescent="0.75">
      <c r="A8" t="s">
        <v>119</v>
      </c>
      <c r="C8" s="65">
        <f>C7/C19</f>
        <v>0.22880211214883198</v>
      </c>
    </row>
    <row r="9" spans="1:3" x14ac:dyDescent="0.75">
      <c r="A9" t="s">
        <v>120</v>
      </c>
      <c r="C9" s="63">
        <v>0</v>
      </c>
    </row>
    <row r="10" spans="1:3" x14ac:dyDescent="0.75">
      <c r="A10" t="s">
        <v>121</v>
      </c>
      <c r="C10" s="65">
        <v>0.21110000000000001</v>
      </c>
    </row>
    <row r="11" spans="1:3" x14ac:dyDescent="0.75">
      <c r="C11"/>
    </row>
    <row r="12" spans="1:3" x14ac:dyDescent="0.75">
      <c r="A12" t="s">
        <v>122</v>
      </c>
      <c r="C12" s="63">
        <f>'Balance sheet'!B21</f>
        <v>678.84</v>
      </c>
    </row>
    <row r="13" spans="1:3" x14ac:dyDescent="0.75">
      <c r="A13" t="s">
        <v>123</v>
      </c>
      <c r="C13" s="64">
        <f>C12/C19</f>
        <v>0.77119788785116805</v>
      </c>
    </row>
    <row r="14" spans="1:3" x14ac:dyDescent="0.75">
      <c r="A14" t="s">
        <v>124</v>
      </c>
      <c r="C14" s="59">
        <f>C15+C16*C17</f>
        <v>10.532</v>
      </c>
    </row>
    <row r="15" spans="1:3" x14ac:dyDescent="0.75">
      <c r="A15" t="s">
        <v>125</v>
      </c>
      <c r="C15" s="59">
        <v>4.5</v>
      </c>
    </row>
    <row r="16" spans="1:3" x14ac:dyDescent="0.75">
      <c r="A16" t="s">
        <v>126</v>
      </c>
      <c r="C16" s="57">
        <v>1.1599999999999999</v>
      </c>
    </row>
    <row r="17" spans="1:3" x14ac:dyDescent="0.75">
      <c r="A17" t="s">
        <v>127</v>
      </c>
      <c r="C17" s="63">
        <v>5.2</v>
      </c>
    </row>
    <row r="19" spans="1:3" x14ac:dyDescent="0.75">
      <c r="A19" t="s">
        <v>128</v>
      </c>
      <c r="C19" s="63">
        <f>C12+C7</f>
        <v>880.24099999999999</v>
      </c>
    </row>
    <row r="21" spans="1:3" x14ac:dyDescent="0.75">
      <c r="A21" s="55" t="s">
        <v>97</v>
      </c>
      <c r="B21" s="56"/>
      <c r="C21" s="58">
        <f>C9*(1-C10)*C8+C14*C13</f>
        <v>8.1222561548485022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1212-4E00-45BD-B4DE-6C287EBC8037}">
  <dimension ref="A1:L22"/>
  <sheetViews>
    <sheetView workbookViewId="0">
      <selection activeCell="B2" sqref="B2"/>
    </sheetView>
  </sheetViews>
  <sheetFormatPr defaultRowHeight="14.75" x14ac:dyDescent="0.75"/>
  <cols>
    <col min="1" max="1" width="36.58984375" bestFit="1" customWidth="1"/>
    <col min="2" max="12" width="9.953125" bestFit="1" customWidth="1"/>
  </cols>
  <sheetData>
    <row r="1" spans="1:12" x14ac:dyDescent="0.75">
      <c r="A1" s="24" t="s">
        <v>24</v>
      </c>
      <c r="B1" s="25">
        <v>41639</v>
      </c>
      <c r="C1" s="25">
        <v>42004</v>
      </c>
      <c r="D1" s="25">
        <v>42369</v>
      </c>
      <c r="E1" s="25">
        <v>42735</v>
      </c>
      <c r="F1" s="25">
        <v>43100</v>
      </c>
      <c r="G1" s="25">
        <v>43465</v>
      </c>
      <c r="H1" s="25">
        <v>43830</v>
      </c>
      <c r="I1" s="25">
        <v>44196</v>
      </c>
      <c r="J1" s="25">
        <v>44561</v>
      </c>
      <c r="K1" s="25">
        <v>44926</v>
      </c>
      <c r="L1" s="25">
        <v>45291</v>
      </c>
    </row>
    <row r="2" spans="1:12" x14ac:dyDescent="0.75">
      <c r="A2" t="s">
        <v>45</v>
      </c>
      <c r="B2" s="13">
        <v>200.86600000000001</v>
      </c>
      <c r="C2" s="13">
        <v>112.648</v>
      </c>
      <c r="D2" s="13">
        <v>104.83799999999999</v>
      </c>
      <c r="E2" s="13">
        <v>165.61</v>
      </c>
      <c r="F2" s="13">
        <v>245.24100000000001</v>
      </c>
      <c r="G2" s="13">
        <v>266.99900000000002</v>
      </c>
      <c r="H2" s="13">
        <v>304.62200000000001</v>
      </c>
      <c r="I2" s="13">
        <v>287.166</v>
      </c>
      <c r="J2" s="13">
        <v>263.536</v>
      </c>
      <c r="K2" s="13">
        <v>289.798</v>
      </c>
      <c r="L2" s="13">
        <v>219.81299999999999</v>
      </c>
    </row>
    <row r="3" spans="1:12" x14ac:dyDescent="0.75">
      <c r="A3" t="s">
        <v>46</v>
      </c>
      <c r="B3" s="13">
        <v>185.423</v>
      </c>
      <c r="C3" s="13">
        <v>194.59399999999999</v>
      </c>
      <c r="D3" s="13">
        <v>198.38399999999999</v>
      </c>
      <c r="E3" s="13">
        <v>200.958</v>
      </c>
      <c r="F3" s="13">
        <v>240.90899999999999</v>
      </c>
      <c r="G3" s="13">
        <v>266.452</v>
      </c>
      <c r="H3" s="13">
        <v>254.637</v>
      </c>
      <c r="I3" s="13">
        <v>277.71499999999997</v>
      </c>
      <c r="J3" s="13">
        <v>391.52800000000002</v>
      </c>
      <c r="K3" s="13">
        <v>286.16500000000002</v>
      </c>
      <c r="L3" s="13">
        <v>360.96899999999999</v>
      </c>
    </row>
    <row r="4" spans="1:12" x14ac:dyDescent="0.75">
      <c r="A4" t="s">
        <v>47</v>
      </c>
      <c r="B4" s="13">
        <v>73.695999999999998</v>
      </c>
      <c r="C4" s="13">
        <v>92.677000000000007</v>
      </c>
      <c r="D4" s="13">
        <v>102.08</v>
      </c>
      <c r="E4" s="13">
        <v>119.824</v>
      </c>
      <c r="F4" s="13">
        <v>110.324</v>
      </c>
      <c r="G4" s="13">
        <v>137.24700000000001</v>
      </c>
      <c r="H4" s="13">
        <v>136.89599999999999</v>
      </c>
      <c r="I4" s="13">
        <v>101.42</v>
      </c>
      <c r="J4" s="13">
        <v>255.21299999999999</v>
      </c>
      <c r="K4" s="13">
        <v>228.75200000000001</v>
      </c>
      <c r="L4" s="13">
        <v>228.99</v>
      </c>
    </row>
    <row r="5" spans="1:12" x14ac:dyDescent="0.75">
      <c r="A5" t="s">
        <v>48</v>
      </c>
      <c r="B5" s="13">
        <v>24.393000000000001</v>
      </c>
      <c r="C5" s="13">
        <v>28.181999999999999</v>
      </c>
      <c r="D5" s="13">
        <v>39.283000000000001</v>
      </c>
      <c r="E5" s="13">
        <v>42.279000000000003</v>
      </c>
      <c r="F5" s="13">
        <v>49.043999999999997</v>
      </c>
      <c r="G5" s="13">
        <v>32.427</v>
      </c>
      <c r="H5" s="13">
        <v>22.724</v>
      </c>
      <c r="I5" s="13">
        <v>31.94</v>
      </c>
      <c r="J5" s="13">
        <v>34.383000000000003</v>
      </c>
      <c r="K5" s="13">
        <v>38.841999999999999</v>
      </c>
      <c r="L5" s="13">
        <v>45.06</v>
      </c>
    </row>
    <row r="6" spans="1:12" x14ac:dyDescent="0.75">
      <c r="A6" t="s">
        <v>49</v>
      </c>
      <c r="B6" s="13">
        <v>496.64499999999998</v>
      </c>
      <c r="C6" s="13">
        <v>442.226</v>
      </c>
      <c r="D6" s="13">
        <v>458.97699999999998</v>
      </c>
      <c r="E6" s="13">
        <v>528.67100000000005</v>
      </c>
      <c r="F6" s="13">
        <v>645.51800000000003</v>
      </c>
      <c r="G6" s="13">
        <v>703.125</v>
      </c>
      <c r="H6" s="13">
        <v>718.87900000000002</v>
      </c>
      <c r="I6" s="13">
        <v>698.24099999999999</v>
      </c>
      <c r="J6" s="13">
        <v>944.66</v>
      </c>
      <c r="K6" s="13">
        <v>843.55700000000002</v>
      </c>
      <c r="L6" s="13">
        <v>854.83199999999999</v>
      </c>
    </row>
    <row r="7" spans="1:12" x14ac:dyDescent="0.75">
      <c r="A7" t="s">
        <v>50</v>
      </c>
      <c r="B7" s="13">
        <v>56.606000000000002</v>
      </c>
      <c r="C7" s="13">
        <v>68.905000000000001</v>
      </c>
      <c r="D7" s="13">
        <v>72.010000000000005</v>
      </c>
      <c r="E7" s="13">
        <v>72.381</v>
      </c>
      <c r="F7" s="13">
        <v>71.498000000000005</v>
      </c>
      <c r="G7" s="13">
        <v>64.807000000000002</v>
      </c>
      <c r="H7" s="13">
        <v>65.504000000000005</v>
      </c>
      <c r="I7" s="13">
        <v>43.268000000000001</v>
      </c>
      <c r="J7" s="13">
        <v>35.79</v>
      </c>
      <c r="K7" s="13">
        <v>40.664000000000001</v>
      </c>
      <c r="L7" s="13">
        <v>47.198999999999998</v>
      </c>
    </row>
    <row r="8" spans="1:12" x14ac:dyDescent="0.75">
      <c r="A8" t="s">
        <v>51</v>
      </c>
      <c r="B8" s="13">
        <v>91.266999999999996</v>
      </c>
      <c r="C8" s="13">
        <v>90.445999999999998</v>
      </c>
      <c r="D8" s="13">
        <v>88.465000000000003</v>
      </c>
      <c r="E8" s="13">
        <v>70.558999999999997</v>
      </c>
      <c r="F8" s="13">
        <v>29.523</v>
      </c>
    </row>
    <row r="9" spans="1:12" x14ac:dyDescent="0.75">
      <c r="A9" t="s">
        <v>52</v>
      </c>
      <c r="B9" s="13">
        <v>225.69499999999999</v>
      </c>
      <c r="C9" s="13">
        <v>294.416</v>
      </c>
      <c r="D9" s="13">
        <v>286.85500000000002</v>
      </c>
      <c r="E9" s="13">
        <v>280.09699999999998</v>
      </c>
      <c r="F9" s="13">
        <v>299.84199999999998</v>
      </c>
      <c r="G9" s="13">
        <v>291.423</v>
      </c>
      <c r="H9" s="13">
        <v>334.05799999999999</v>
      </c>
      <c r="I9" s="13">
        <v>283.45600000000002</v>
      </c>
      <c r="J9" s="13">
        <v>280.08800000000002</v>
      </c>
      <c r="K9" s="13">
        <v>269.27699999999999</v>
      </c>
      <c r="L9" s="13">
        <v>306.27</v>
      </c>
    </row>
    <row r="10" spans="1:12" x14ac:dyDescent="0.75">
      <c r="A10" t="s">
        <v>53</v>
      </c>
      <c r="B10" s="13">
        <v>3.2759999999999998</v>
      </c>
      <c r="C10" s="13">
        <v>10.036</v>
      </c>
      <c r="D10" s="13">
        <v>5.0880000000000001</v>
      </c>
      <c r="E10" s="13">
        <v>4.71</v>
      </c>
      <c r="F10" s="13">
        <v>2.121</v>
      </c>
      <c r="G10" s="13">
        <v>1.9670000000000001</v>
      </c>
      <c r="H10" s="13">
        <v>2.948</v>
      </c>
      <c r="I10" s="13">
        <v>4.8220000000000001</v>
      </c>
      <c r="J10" s="13">
        <v>4.18</v>
      </c>
      <c r="K10" s="13">
        <v>12.07</v>
      </c>
      <c r="L10" s="13">
        <v>16.25</v>
      </c>
    </row>
    <row r="11" spans="1:12" x14ac:dyDescent="0.75">
      <c r="A11" t="s">
        <v>54</v>
      </c>
      <c r="B11" s="13">
        <v>383.596</v>
      </c>
      <c r="C11" s="13">
        <v>469.00900000000001</v>
      </c>
      <c r="D11" s="13">
        <v>455.40800000000002</v>
      </c>
      <c r="E11" s="13">
        <v>432.20400000000001</v>
      </c>
      <c r="F11" s="13">
        <v>411.64299999999997</v>
      </c>
      <c r="G11" s="13">
        <v>369.44499999999999</v>
      </c>
      <c r="H11" s="13">
        <v>559.76800000000003</v>
      </c>
      <c r="I11" s="13">
        <v>439.52</v>
      </c>
      <c r="J11" s="13">
        <v>410.88200000000001</v>
      </c>
      <c r="K11" s="13">
        <v>414.43099999999998</v>
      </c>
      <c r="L11" s="13">
        <v>493.11099999999999</v>
      </c>
    </row>
    <row r="12" spans="1:12" x14ac:dyDescent="0.75">
      <c r="A12" t="s">
        <v>55</v>
      </c>
      <c r="B12" s="13">
        <v>880.24099999999999</v>
      </c>
      <c r="C12" s="13">
        <v>911.23500000000001</v>
      </c>
      <c r="D12" s="13">
        <v>914.38499999999999</v>
      </c>
      <c r="E12" s="13">
        <v>960.875</v>
      </c>
      <c r="F12" s="13">
        <v>1057.1610000000001</v>
      </c>
      <c r="G12" s="13">
        <v>1072.57</v>
      </c>
      <c r="H12" s="13">
        <v>1278.6469999999999</v>
      </c>
      <c r="I12" s="13">
        <v>1137.761</v>
      </c>
      <c r="J12" s="13">
        <v>1355.5419999999999</v>
      </c>
      <c r="K12" s="13">
        <v>1257.9880000000001</v>
      </c>
      <c r="L12" s="13">
        <v>1347.943</v>
      </c>
    </row>
    <row r="13" spans="1:12" x14ac:dyDescent="0.75">
      <c r="A13" t="s">
        <v>56</v>
      </c>
      <c r="B13" s="13">
        <v>154.50299999999999</v>
      </c>
      <c r="C13" s="13">
        <v>177.59100000000001</v>
      </c>
      <c r="D13" s="13">
        <v>174.79900000000001</v>
      </c>
      <c r="E13" s="13">
        <v>183.12700000000001</v>
      </c>
      <c r="F13" s="13">
        <v>206.61199999999999</v>
      </c>
      <c r="G13" s="13">
        <v>224.68899999999999</v>
      </c>
      <c r="H13" s="13">
        <v>281.27100000000002</v>
      </c>
      <c r="I13" s="13">
        <v>235.916</v>
      </c>
      <c r="J13" s="13">
        <v>435.19</v>
      </c>
      <c r="K13" s="13">
        <v>320.90800000000002</v>
      </c>
      <c r="L13" s="13">
        <v>377.62400000000002</v>
      </c>
    </row>
    <row r="14" spans="1:12" x14ac:dyDescent="0.75">
      <c r="A14" t="s">
        <v>57</v>
      </c>
      <c r="B14" s="13">
        <v>24.239000000000001</v>
      </c>
      <c r="C14" s="13">
        <v>27.835999999999999</v>
      </c>
      <c r="D14" s="13">
        <v>9.5</v>
      </c>
      <c r="E14" s="13">
        <v>2.6320000000000001</v>
      </c>
      <c r="F14" s="13">
        <v>21.981999999999999</v>
      </c>
      <c r="G14" s="13">
        <v>13.372</v>
      </c>
      <c r="H14" s="13">
        <v>17.103000000000002</v>
      </c>
      <c r="I14" s="13">
        <v>10.321999999999999</v>
      </c>
      <c r="J14" s="13">
        <v>16.364000000000001</v>
      </c>
      <c r="K14" s="13">
        <v>10.166</v>
      </c>
      <c r="L14" s="13">
        <v>15.145</v>
      </c>
    </row>
    <row r="15" spans="1:12" x14ac:dyDescent="0.75">
      <c r="A15" t="s">
        <v>58</v>
      </c>
      <c r="B15" s="13">
        <v>46.898000000000003</v>
      </c>
      <c r="C15" s="13">
        <v>64.114999999999995</v>
      </c>
      <c r="D15" s="13">
        <v>60.923000000000002</v>
      </c>
      <c r="E15" s="13">
        <v>36.676000000000002</v>
      </c>
      <c r="F15" s="13">
        <v>41.616999999999997</v>
      </c>
      <c r="G15" s="13">
        <v>33.198999999999998</v>
      </c>
      <c r="H15" s="13">
        <v>156.15199999999999</v>
      </c>
      <c r="I15" s="13">
        <v>111.476</v>
      </c>
      <c r="J15" s="13">
        <v>99.813999999999993</v>
      </c>
      <c r="K15" s="13">
        <v>93.216999999999999</v>
      </c>
      <c r="L15" s="13">
        <v>122.28700000000001</v>
      </c>
    </row>
    <row r="16" spans="1:12" x14ac:dyDescent="0.75">
      <c r="A16" t="s">
        <v>59</v>
      </c>
      <c r="B16" s="13">
        <v>201.40100000000001</v>
      </c>
      <c r="C16" s="13">
        <v>241.70599999999999</v>
      </c>
      <c r="D16" s="13">
        <v>235.72200000000001</v>
      </c>
      <c r="E16" s="13">
        <v>219.803</v>
      </c>
      <c r="F16" s="13">
        <v>248.22900000000001</v>
      </c>
      <c r="G16" s="13">
        <v>257.88799999999998</v>
      </c>
      <c r="H16" s="13">
        <v>437.423</v>
      </c>
      <c r="I16" s="13">
        <v>347.392</v>
      </c>
      <c r="J16" s="13">
        <v>535.00400000000002</v>
      </c>
      <c r="K16" s="13">
        <v>414.125</v>
      </c>
      <c r="L16" s="13">
        <v>499.911</v>
      </c>
    </row>
    <row r="17" spans="1:12" x14ac:dyDescent="0.75">
      <c r="A17" t="s">
        <v>60</v>
      </c>
      <c r="B17" s="13">
        <v>7.0000000000000001E-3</v>
      </c>
      <c r="C17" s="13">
        <v>6.0000000000000001E-3</v>
      </c>
      <c r="D17" s="13">
        <v>6.0000000000000001E-3</v>
      </c>
      <c r="E17" s="13">
        <v>6.0000000000000001E-3</v>
      </c>
      <c r="F17" s="13">
        <v>6.0000000000000001E-3</v>
      </c>
      <c r="G17" s="13">
        <v>6.0000000000000001E-3</v>
      </c>
      <c r="H17" s="13">
        <v>6.0000000000000001E-3</v>
      </c>
      <c r="I17" s="13">
        <v>8.0000000000000002E-3</v>
      </c>
      <c r="J17" s="13">
        <v>8.0000000000000002E-3</v>
      </c>
      <c r="K17" s="13">
        <v>8.0000000000000002E-3</v>
      </c>
      <c r="L17" s="13">
        <v>7.0000000000000001E-3</v>
      </c>
    </row>
    <row r="18" spans="1:12" x14ac:dyDescent="0.75">
      <c r="A18" t="s">
        <v>61</v>
      </c>
      <c r="B18" s="13">
        <v>672.04399999999998</v>
      </c>
      <c r="C18" s="13">
        <v>783.904</v>
      </c>
      <c r="D18" s="13">
        <v>896.84199999999998</v>
      </c>
      <c r="E18" s="13">
        <v>1017.753</v>
      </c>
      <c r="F18" s="13">
        <v>1135.701</v>
      </c>
      <c r="G18" s="13">
        <v>1217.521</v>
      </c>
      <c r="H18" s="13">
        <v>1310.4059999999999</v>
      </c>
      <c r="I18" s="13">
        <v>1279.55</v>
      </c>
      <c r="J18" s="13">
        <v>1421.067</v>
      </c>
      <c r="K18" s="13">
        <v>1571.123</v>
      </c>
      <c r="L18" s="13">
        <v>1679.5</v>
      </c>
    </row>
    <row r="19" spans="1:12" x14ac:dyDescent="0.75">
      <c r="A19" t="s">
        <v>62</v>
      </c>
      <c r="B19" s="13">
        <v>-6.6769999999999996</v>
      </c>
      <c r="C19" s="13">
        <v>-12.752000000000001</v>
      </c>
      <c r="D19" s="13">
        <v>-31.413</v>
      </c>
      <c r="E19" s="13">
        <v>-31.751000000000001</v>
      </c>
      <c r="F19" s="13">
        <v>-25.613</v>
      </c>
      <c r="G19" s="13">
        <v>-32.628</v>
      </c>
      <c r="H19" s="13">
        <v>-30.44</v>
      </c>
      <c r="I19" s="13">
        <v>-29.164000000000001</v>
      </c>
      <c r="J19" s="13">
        <v>-29.544</v>
      </c>
      <c r="K19" s="13">
        <v>-35.709000000000003</v>
      </c>
      <c r="L19" s="13">
        <v>-29.045999999999999</v>
      </c>
    </row>
    <row r="20" spans="1:12" x14ac:dyDescent="0.75">
      <c r="A20" t="s">
        <v>63</v>
      </c>
    </row>
    <row r="21" spans="1:12" x14ac:dyDescent="0.75">
      <c r="A21" t="s">
        <v>64</v>
      </c>
      <c r="B21" s="13">
        <v>678.84</v>
      </c>
      <c r="C21" s="13">
        <v>669.529</v>
      </c>
      <c r="D21" s="13">
        <v>678.66300000000001</v>
      </c>
      <c r="E21" s="13">
        <v>741.072</v>
      </c>
      <c r="F21" s="13">
        <v>808.93200000000002</v>
      </c>
      <c r="G21" s="13">
        <v>814.68200000000002</v>
      </c>
      <c r="H21" s="13">
        <v>841.22400000000005</v>
      </c>
      <c r="I21" s="13">
        <v>790.36900000000003</v>
      </c>
      <c r="J21" s="13">
        <v>820.53800000000001</v>
      </c>
      <c r="K21" s="13">
        <v>843.86300000000006</v>
      </c>
      <c r="L21" s="13">
        <v>848.03200000000004</v>
      </c>
    </row>
    <row r="22" spans="1:12" x14ac:dyDescent="0.75">
      <c r="A22" t="s">
        <v>65</v>
      </c>
      <c r="B22" s="13">
        <v>880.24099999999999</v>
      </c>
      <c r="C22" s="13">
        <v>911.23500000000001</v>
      </c>
      <c r="D22" s="13">
        <v>914.38499999999999</v>
      </c>
      <c r="E22" s="13">
        <v>960.875</v>
      </c>
      <c r="F22" s="13">
        <v>1057.1610000000001</v>
      </c>
      <c r="G22" s="13">
        <v>1072.57</v>
      </c>
      <c r="H22" s="13">
        <v>1278.6469999999999</v>
      </c>
      <c r="I22" s="13">
        <v>1137.761</v>
      </c>
      <c r="J22" s="13">
        <v>1355.5419999999999</v>
      </c>
      <c r="K22" s="13">
        <v>1257.9880000000001</v>
      </c>
      <c r="L22" s="13">
        <v>1347.943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D237-240A-425E-A0BB-4A24EF3D7384}">
  <dimension ref="A1:F6"/>
  <sheetViews>
    <sheetView workbookViewId="0">
      <selection activeCell="E4" sqref="E1:E4"/>
    </sheetView>
  </sheetViews>
  <sheetFormatPr defaultRowHeight="14.75" x14ac:dyDescent="0.75"/>
  <cols>
    <col min="1" max="1" width="13.6796875" bestFit="1" customWidth="1"/>
    <col min="2" max="6" width="9.86328125" bestFit="1" customWidth="1"/>
  </cols>
  <sheetData>
    <row r="1" spans="1:6" x14ac:dyDescent="0.75">
      <c r="A1" t="s">
        <v>100</v>
      </c>
      <c r="B1">
        <v>2024</v>
      </c>
      <c r="C1">
        <v>2025</v>
      </c>
      <c r="D1">
        <v>2026</v>
      </c>
      <c r="E1">
        <v>2027</v>
      </c>
      <c r="F1">
        <v>2028</v>
      </c>
    </row>
    <row r="2" spans="1:6" s="28" customFormat="1" x14ac:dyDescent="0.75">
      <c r="A2" s="28" t="s">
        <v>101</v>
      </c>
      <c r="B2" s="28">
        <v>2260</v>
      </c>
      <c r="C2" s="28">
        <v>2380</v>
      </c>
      <c r="D2" s="28">
        <v>2510</v>
      </c>
      <c r="E2" s="28">
        <v>2770</v>
      </c>
      <c r="F2" s="28">
        <v>2950</v>
      </c>
    </row>
    <row r="3" spans="1:6" s="12" customFormat="1" x14ac:dyDescent="0.75">
      <c r="A3" s="12" t="s">
        <v>95</v>
      </c>
      <c r="B3" s="12">
        <v>0.13800000000000001</v>
      </c>
      <c r="C3" s="12">
        <v>5.5E-2</v>
      </c>
      <c r="D3" s="12">
        <v>5.2999999999999999E-2</v>
      </c>
      <c r="E3" s="29">
        <v>0.107</v>
      </c>
      <c r="F3" s="12">
        <v>6.2399999999999997E-2</v>
      </c>
    </row>
    <row r="4" spans="1:6" x14ac:dyDescent="0.75">
      <c r="A4" t="s">
        <v>102</v>
      </c>
      <c r="B4">
        <v>2.67</v>
      </c>
      <c r="C4">
        <v>3.04</v>
      </c>
      <c r="D4">
        <v>3.56</v>
      </c>
      <c r="E4">
        <v>3.94</v>
      </c>
      <c r="F4">
        <v>4.53</v>
      </c>
    </row>
    <row r="5" spans="1:6" x14ac:dyDescent="0.75">
      <c r="A5" t="s">
        <v>103</v>
      </c>
      <c r="B5" s="12">
        <v>0.16200000000000001</v>
      </c>
      <c r="C5" s="12">
        <v>0.13819999999999999</v>
      </c>
      <c r="D5" s="12">
        <v>0.1704</v>
      </c>
      <c r="E5" t="s">
        <v>104</v>
      </c>
      <c r="F5" s="12">
        <v>0.15029999999999999</v>
      </c>
    </row>
    <row r="6" spans="1:6" x14ac:dyDescent="0.75">
      <c r="A6" t="s">
        <v>105</v>
      </c>
      <c r="B6">
        <v>12</v>
      </c>
      <c r="C6">
        <v>12</v>
      </c>
      <c r="D6">
        <v>6</v>
      </c>
      <c r="E6">
        <v>3</v>
      </c>
      <c r="F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31CF-7B94-4954-87C4-51E2707FADFA}">
  <dimension ref="A1:M23"/>
  <sheetViews>
    <sheetView workbookViewId="0">
      <selection activeCell="M18" sqref="M18"/>
    </sheetView>
  </sheetViews>
  <sheetFormatPr defaultRowHeight="14.75" x14ac:dyDescent="0.75"/>
  <cols>
    <col min="1" max="1" width="2.26953125" bestFit="1" customWidth="1"/>
    <col min="2" max="2" width="61.58984375" bestFit="1" customWidth="1"/>
    <col min="3" max="12" width="9.953125" bestFit="1" customWidth="1"/>
    <col min="13" max="13" width="10.1796875" bestFit="1" customWidth="1"/>
  </cols>
  <sheetData>
    <row r="1" spans="1:13" x14ac:dyDescent="0.75">
      <c r="A1" s="15"/>
      <c r="B1" s="15" t="s">
        <v>24</v>
      </c>
      <c r="C1" s="16">
        <v>41639</v>
      </c>
      <c r="D1" s="16">
        <v>42004</v>
      </c>
      <c r="E1" s="16">
        <v>42369</v>
      </c>
      <c r="F1" s="16">
        <v>42735</v>
      </c>
      <c r="G1" s="16">
        <v>43100</v>
      </c>
      <c r="H1" s="16">
        <v>43465</v>
      </c>
      <c r="I1" s="16">
        <v>43830</v>
      </c>
      <c r="J1" s="16">
        <v>44196</v>
      </c>
      <c r="K1" s="16">
        <v>44561</v>
      </c>
      <c r="L1" s="16">
        <v>44926</v>
      </c>
      <c r="M1" s="16">
        <v>45291</v>
      </c>
    </row>
    <row r="2" spans="1:13" x14ac:dyDescent="0.75">
      <c r="B2" t="s">
        <v>25</v>
      </c>
      <c r="C2" s="13">
        <v>1314.223</v>
      </c>
      <c r="D2" s="13">
        <v>1334.951</v>
      </c>
      <c r="E2" s="13">
        <v>1405.239</v>
      </c>
      <c r="F2" s="13">
        <v>1399.5509999999999</v>
      </c>
      <c r="G2" s="13">
        <v>1567.0830000000001</v>
      </c>
      <c r="H2" s="13">
        <v>1677.7339999999999</v>
      </c>
      <c r="I2" s="13">
        <v>1787.1569999999999</v>
      </c>
      <c r="J2" s="13">
        <v>1201.8140000000001</v>
      </c>
      <c r="K2" s="13">
        <v>1866.1420000000001</v>
      </c>
      <c r="L2" s="13">
        <v>2122.09</v>
      </c>
      <c r="M2" s="13">
        <v>1981.5820000000001</v>
      </c>
    </row>
    <row r="3" spans="1:13" x14ac:dyDescent="0.75">
      <c r="B3" t="s">
        <v>26</v>
      </c>
      <c r="C3" s="13">
        <v>831.84699999999998</v>
      </c>
      <c r="D3" s="13">
        <v>865.95100000000002</v>
      </c>
      <c r="E3" s="13">
        <v>904.74699999999996</v>
      </c>
      <c r="F3" s="13">
        <v>877.56799999999998</v>
      </c>
      <c r="G3" s="13">
        <v>968.35699999999997</v>
      </c>
      <c r="H3" s="13">
        <v>1037.5709999999999</v>
      </c>
      <c r="I3" s="13">
        <v>1101.1400000000001</v>
      </c>
      <c r="J3" s="13">
        <v>737.27300000000002</v>
      </c>
      <c r="K3" s="13">
        <v>1098.645</v>
      </c>
      <c r="L3" s="13">
        <v>1248.173</v>
      </c>
      <c r="M3" s="13">
        <v>1149.1679999999999</v>
      </c>
    </row>
    <row r="4" spans="1:13" x14ac:dyDescent="0.75">
      <c r="B4" t="s">
        <v>41</v>
      </c>
      <c r="C4" s="13">
        <v>482.37599999999998</v>
      </c>
      <c r="D4" s="14">
        <v>469</v>
      </c>
      <c r="E4" s="13">
        <v>500.49200000000002</v>
      </c>
      <c r="F4" s="13">
        <v>521.98299999999995</v>
      </c>
      <c r="G4" s="13">
        <v>598.726</v>
      </c>
      <c r="H4" s="13">
        <v>640.16300000000001</v>
      </c>
      <c r="I4" s="13">
        <v>686.01700000000005</v>
      </c>
      <c r="J4" s="13">
        <v>464.541</v>
      </c>
      <c r="K4" s="13">
        <v>767.49699999999996</v>
      </c>
      <c r="L4" s="13">
        <v>873.83600000000001</v>
      </c>
      <c r="M4" s="13">
        <v>832.41399999999999</v>
      </c>
    </row>
    <row r="5" spans="1:13" x14ac:dyDescent="0.75">
      <c r="B5" t="s">
        <v>42</v>
      </c>
    </row>
    <row r="6" spans="1:13" x14ac:dyDescent="0.75">
      <c r="B6" t="s">
        <v>43</v>
      </c>
    </row>
    <row r="7" spans="1:13" x14ac:dyDescent="0.75">
      <c r="B7" t="s">
        <v>44</v>
      </c>
      <c r="C7" s="13">
        <v>-278.608</v>
      </c>
      <c r="D7" s="13">
        <v>-301.358</v>
      </c>
      <c r="E7" s="13">
        <v>-328.84399999999999</v>
      </c>
      <c r="F7" s="13">
        <v>-352.80700000000002</v>
      </c>
      <c r="G7" s="13">
        <v>-428.94200000000001</v>
      </c>
      <c r="H7" s="13">
        <v>-466.78100000000001</v>
      </c>
      <c r="I7" s="13">
        <v>-505.15300000000002</v>
      </c>
      <c r="J7" s="13">
        <v>496.14600000000002</v>
      </c>
      <c r="K7" s="13">
        <v>-523.9</v>
      </c>
      <c r="L7" s="13">
        <v>-592.19200000000001</v>
      </c>
      <c r="M7" s="13">
        <v>-619.19200000000001</v>
      </c>
    </row>
    <row r="8" spans="1:13" x14ac:dyDescent="0.75">
      <c r="B8" t="s">
        <v>27</v>
      </c>
      <c r="C8" s="13">
        <v>278.608</v>
      </c>
      <c r="D8" s="13">
        <v>301.358</v>
      </c>
      <c r="E8" s="13">
        <v>328.84399999999999</v>
      </c>
      <c r="F8" s="13">
        <v>352.80700000000002</v>
      </c>
      <c r="G8" s="13">
        <v>428.94200000000001</v>
      </c>
      <c r="H8" s="13">
        <v>466.78100000000001</v>
      </c>
      <c r="I8" s="13">
        <v>509.20299999999997</v>
      </c>
      <c r="J8" s="13">
        <v>540.41899999999998</v>
      </c>
      <c r="K8" s="13">
        <v>523.9</v>
      </c>
      <c r="L8" s="13">
        <v>592.19200000000001</v>
      </c>
      <c r="M8" s="13">
        <v>619.19200000000001</v>
      </c>
    </row>
    <row r="9" spans="1:13" x14ac:dyDescent="0.75">
      <c r="B9" t="s">
        <v>28</v>
      </c>
      <c r="C9" s="13">
        <v>203.768</v>
      </c>
      <c r="D9" s="13">
        <v>167.642</v>
      </c>
      <c r="E9" s="13">
        <v>171.648</v>
      </c>
      <c r="F9" s="13">
        <v>169.17599999999999</v>
      </c>
      <c r="G9" s="13">
        <v>169.78399999999999</v>
      </c>
      <c r="H9" s="13">
        <v>173.38200000000001</v>
      </c>
      <c r="I9" s="13">
        <v>176.81399999999999</v>
      </c>
      <c r="J9" s="13">
        <v>-75.878</v>
      </c>
      <c r="K9" s="13">
        <v>243.59700000000001</v>
      </c>
      <c r="L9" s="13">
        <v>281.64400000000001</v>
      </c>
      <c r="M9" s="13">
        <v>213.22200000000001</v>
      </c>
    </row>
    <row r="10" spans="1:13" x14ac:dyDescent="0.75">
      <c r="B10" t="s">
        <v>29</v>
      </c>
      <c r="C10" s="13">
        <v>5.1829999999999998</v>
      </c>
      <c r="D10" s="13">
        <v>3.7509999999999999</v>
      </c>
      <c r="E10" s="13">
        <v>0.81799999999999995</v>
      </c>
      <c r="F10" s="13">
        <v>1.8240000000000001</v>
      </c>
      <c r="G10" s="13">
        <v>2.5430000000000001</v>
      </c>
      <c r="H10" s="13">
        <v>3.9580000000000002</v>
      </c>
      <c r="I10" s="13">
        <v>4.4119999999999999</v>
      </c>
      <c r="J10" s="13">
        <v>1.62</v>
      </c>
      <c r="K10" s="13">
        <v>-1.5289999999999999</v>
      </c>
      <c r="L10" s="13">
        <v>0.67600000000000005</v>
      </c>
      <c r="M10" s="13">
        <v>7.3920000000000003</v>
      </c>
    </row>
    <row r="11" spans="1:13" x14ac:dyDescent="0.75">
      <c r="B11" t="s">
        <v>30</v>
      </c>
      <c r="C11" s="13">
        <v>208.95099999999999</v>
      </c>
      <c r="D11" s="13">
        <v>171.393</v>
      </c>
      <c r="E11" s="13">
        <v>172.46600000000001</v>
      </c>
      <c r="F11" s="14">
        <v>171</v>
      </c>
      <c r="G11" s="13">
        <v>172.327</v>
      </c>
      <c r="H11" s="13">
        <v>177.34</v>
      </c>
      <c r="I11" s="13">
        <v>181.226</v>
      </c>
      <c r="J11" s="13">
        <v>-29.984999999999999</v>
      </c>
      <c r="K11" s="13">
        <v>242.06800000000001</v>
      </c>
      <c r="L11" s="13">
        <v>282.32</v>
      </c>
      <c r="M11" s="13">
        <v>220.614</v>
      </c>
    </row>
    <row r="12" spans="1:13" x14ac:dyDescent="0.75">
      <c r="B12" t="s">
        <v>31</v>
      </c>
      <c r="C12" s="13">
        <v>75.665999999999997</v>
      </c>
      <c r="D12" s="13">
        <v>58.764000000000003</v>
      </c>
      <c r="E12" s="13">
        <v>58.811</v>
      </c>
      <c r="F12" s="13">
        <v>49.725999999999999</v>
      </c>
      <c r="G12" s="13">
        <v>53.189</v>
      </c>
      <c r="H12" s="14">
        <v>46.841000000000001</v>
      </c>
      <c r="I12" s="13">
        <v>39.503999999999998</v>
      </c>
      <c r="J12" s="13">
        <v>-11.704000000000001</v>
      </c>
      <c r="K12" s="13">
        <v>49.609000000000002</v>
      </c>
      <c r="L12" s="13">
        <v>65.102999999999994</v>
      </c>
      <c r="M12" s="13">
        <v>46.639000000000003</v>
      </c>
    </row>
    <row r="13" spans="1:13" x14ac:dyDescent="0.75">
      <c r="B13" t="s">
        <v>32</v>
      </c>
      <c r="C13" s="13">
        <v>133.285</v>
      </c>
      <c r="D13" s="13">
        <v>112.629</v>
      </c>
      <c r="E13" s="13">
        <v>113.655</v>
      </c>
      <c r="F13" s="13">
        <v>121.274</v>
      </c>
      <c r="G13" s="13">
        <v>119.13800000000001</v>
      </c>
      <c r="H13" s="13">
        <v>130.499</v>
      </c>
      <c r="I13" s="13">
        <v>141.72200000000001</v>
      </c>
      <c r="J13" s="13">
        <v>-18.280999999999999</v>
      </c>
      <c r="K13" s="13">
        <v>192.459</v>
      </c>
      <c r="L13" s="13">
        <v>217.21700000000001</v>
      </c>
      <c r="M13" s="13">
        <v>173.97499999999999</v>
      </c>
    </row>
    <row r="15" spans="1:13" x14ac:dyDescent="0.75">
      <c r="B15" t="s">
        <v>39</v>
      </c>
      <c r="C15" s="13">
        <v>133.285</v>
      </c>
      <c r="D15" s="13">
        <v>112.629</v>
      </c>
      <c r="E15" s="13">
        <v>113.655</v>
      </c>
      <c r="F15" s="13">
        <v>121.274</v>
      </c>
      <c r="G15" s="13">
        <v>119.13800000000001</v>
      </c>
      <c r="H15" s="13">
        <v>130.499</v>
      </c>
      <c r="I15" s="13">
        <v>141.72200000000001</v>
      </c>
      <c r="J15" s="13">
        <v>-18.280999999999999</v>
      </c>
      <c r="K15" s="13">
        <v>192.459</v>
      </c>
      <c r="L15" s="13">
        <v>217.21700000000001</v>
      </c>
      <c r="M15" s="13">
        <v>173.97499999999999</v>
      </c>
    </row>
    <row r="16" spans="1:13" x14ac:dyDescent="0.75">
      <c r="B16" t="s">
        <v>40</v>
      </c>
    </row>
    <row r="17" spans="2:13" x14ac:dyDescent="0.75">
      <c r="B17" t="s">
        <v>33</v>
      </c>
      <c r="C17" s="13">
        <v>132.00700000000001</v>
      </c>
      <c r="D17" s="13">
        <v>111.88</v>
      </c>
      <c r="E17" s="13">
        <v>112.938</v>
      </c>
      <c r="F17" s="13">
        <v>120.911</v>
      </c>
      <c r="G17" s="13">
        <v>117.94799999999999</v>
      </c>
      <c r="H17" s="13">
        <v>129.136</v>
      </c>
      <c r="I17" s="13">
        <v>141.31100000000001</v>
      </c>
      <c r="J17" s="13">
        <v>-18.396999999999998</v>
      </c>
      <c r="K17" s="13">
        <v>190.678</v>
      </c>
      <c r="L17" s="13">
        <v>216.06100000000001</v>
      </c>
      <c r="M17" s="13">
        <v>171.554</v>
      </c>
    </row>
    <row r="18" spans="2:13" x14ac:dyDescent="0.75">
      <c r="B18" t="s">
        <v>34</v>
      </c>
      <c r="C18" s="13">
        <v>216.74700000000001</v>
      </c>
      <c r="D18" s="13">
        <v>182.71899999999999</v>
      </c>
      <c r="E18" s="13">
        <v>192.405</v>
      </c>
      <c r="F18" s="13">
        <v>190.27799999999999</v>
      </c>
      <c r="G18" s="13">
        <v>192.173</v>
      </c>
      <c r="H18" s="13">
        <v>195.864</v>
      </c>
      <c r="I18" s="13">
        <v>204.084</v>
      </c>
      <c r="J18" s="13">
        <v>22.65</v>
      </c>
      <c r="K18" s="13">
        <v>262.85700000000003</v>
      </c>
      <c r="L18" s="13">
        <v>302.22000000000003</v>
      </c>
      <c r="M18" s="13">
        <v>235.24299999999999</v>
      </c>
    </row>
    <row r="19" spans="2:13" x14ac:dyDescent="0.75">
      <c r="B19" t="s">
        <v>13</v>
      </c>
      <c r="C19" s="13">
        <v>203.768</v>
      </c>
      <c r="D19" s="13">
        <v>167.642</v>
      </c>
      <c r="E19" s="13">
        <v>171.648</v>
      </c>
      <c r="F19" s="13">
        <v>169.17599999999999</v>
      </c>
      <c r="G19" s="13">
        <v>169.78399999999999</v>
      </c>
      <c r="H19" s="13">
        <v>173.38200000000001</v>
      </c>
      <c r="I19" s="13">
        <v>176.81399999999999</v>
      </c>
      <c r="J19" s="13">
        <v>-75.878</v>
      </c>
      <c r="K19" s="13">
        <v>243.59700000000001</v>
      </c>
      <c r="L19" s="13">
        <v>281.64400000000001</v>
      </c>
      <c r="M19" s="13">
        <v>213.22200000000001</v>
      </c>
    </row>
    <row r="20" spans="2:13" x14ac:dyDescent="0.75">
      <c r="B20" t="s">
        <v>35</v>
      </c>
      <c r="C20">
        <v>97</v>
      </c>
      <c r="D20">
        <v>92</v>
      </c>
      <c r="E20">
        <v>88</v>
      </c>
      <c r="F20">
        <v>86</v>
      </c>
      <c r="G20">
        <v>83</v>
      </c>
      <c r="H20">
        <v>82</v>
      </c>
      <c r="I20">
        <v>80</v>
      </c>
      <c r="J20">
        <v>79</v>
      </c>
      <c r="K20">
        <v>78</v>
      </c>
      <c r="L20">
        <v>76</v>
      </c>
      <c r="M20">
        <v>73</v>
      </c>
    </row>
    <row r="21" spans="2:13" x14ac:dyDescent="0.75">
      <c r="B21" t="s">
        <v>36</v>
      </c>
      <c r="C21">
        <v>100</v>
      </c>
      <c r="D21">
        <v>96</v>
      </c>
      <c r="E21">
        <v>92</v>
      </c>
      <c r="F21">
        <v>89</v>
      </c>
      <c r="G21">
        <v>87</v>
      </c>
      <c r="H21">
        <v>86</v>
      </c>
      <c r="I21">
        <v>84</v>
      </c>
      <c r="J21">
        <v>79</v>
      </c>
      <c r="K21">
        <v>82</v>
      </c>
      <c r="L21">
        <v>78</v>
      </c>
      <c r="M21">
        <v>75</v>
      </c>
    </row>
    <row r="22" spans="2:13" x14ac:dyDescent="0.75">
      <c r="B22" t="s">
        <v>37</v>
      </c>
      <c r="C22" s="13">
        <v>1.36</v>
      </c>
      <c r="D22" s="13">
        <v>1.21</v>
      </c>
      <c r="E22" s="13">
        <v>1.27</v>
      </c>
      <c r="F22" s="13">
        <v>1.41</v>
      </c>
      <c r="G22" s="13">
        <v>1.43</v>
      </c>
      <c r="H22" s="13">
        <v>1.58</v>
      </c>
      <c r="I22" s="13">
        <v>1.78</v>
      </c>
      <c r="J22" s="13">
        <v>0.23</v>
      </c>
      <c r="K22" s="13">
        <v>2.4300000000000002</v>
      </c>
      <c r="L22" s="13">
        <v>2.84</v>
      </c>
      <c r="M22" s="13">
        <v>2.34</v>
      </c>
    </row>
    <row r="23" spans="2:13" x14ac:dyDescent="0.75">
      <c r="B23" t="s">
        <v>38</v>
      </c>
      <c r="C23" s="13">
        <v>1.32</v>
      </c>
      <c r="D23" s="13">
        <v>1.17</v>
      </c>
      <c r="E23" s="13">
        <v>1.23</v>
      </c>
      <c r="F23" s="13">
        <v>1.35</v>
      </c>
      <c r="G23" s="13">
        <v>1.36</v>
      </c>
      <c r="H23" s="13">
        <v>1.5</v>
      </c>
      <c r="I23" s="13">
        <v>1.69</v>
      </c>
      <c r="J23" s="13">
        <v>0.23</v>
      </c>
      <c r="K23" s="13">
        <v>2.34</v>
      </c>
      <c r="L23" s="13">
        <v>2.77</v>
      </c>
      <c r="M23" s="13">
        <v>2.2999999999999998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3041-D711-4DFF-BD83-AD7675A7D2D9}">
  <dimension ref="A1:L25"/>
  <sheetViews>
    <sheetView workbookViewId="0">
      <selection activeCell="B11" sqref="B11"/>
    </sheetView>
  </sheetViews>
  <sheetFormatPr defaultRowHeight="14.75" x14ac:dyDescent="0.75"/>
  <cols>
    <col min="1" max="1" width="77.5" bestFit="1" customWidth="1"/>
    <col min="2" max="12" width="9.953125" bestFit="1" customWidth="1"/>
  </cols>
  <sheetData>
    <row r="1" spans="1:12" x14ac:dyDescent="0.75">
      <c r="A1" s="26" t="s">
        <v>24</v>
      </c>
      <c r="B1" s="25">
        <v>41639</v>
      </c>
      <c r="C1" s="25">
        <v>42004</v>
      </c>
      <c r="D1" s="25">
        <v>42369</v>
      </c>
      <c r="E1" s="25">
        <v>42735</v>
      </c>
      <c r="F1" s="25">
        <v>43100</v>
      </c>
      <c r="G1" s="25">
        <v>43465</v>
      </c>
      <c r="H1" s="25">
        <v>43830</v>
      </c>
      <c r="I1" s="25">
        <v>44196</v>
      </c>
      <c r="J1" s="25">
        <v>44561</v>
      </c>
      <c r="K1" s="25">
        <v>44926</v>
      </c>
      <c r="L1" s="25">
        <v>45291</v>
      </c>
    </row>
    <row r="2" spans="1:12" x14ac:dyDescent="0.75">
      <c r="A2" t="s">
        <v>66</v>
      </c>
      <c r="B2" s="13">
        <v>133.285</v>
      </c>
      <c r="C2" s="13">
        <v>112.629</v>
      </c>
      <c r="D2" s="13">
        <v>113.655</v>
      </c>
      <c r="E2" s="13">
        <v>121.274</v>
      </c>
      <c r="F2" s="13">
        <v>119.13800000000001</v>
      </c>
      <c r="G2" s="13">
        <v>130.499</v>
      </c>
      <c r="H2" s="13">
        <v>141.72200000000001</v>
      </c>
      <c r="I2" s="13">
        <v>-18.280999999999999</v>
      </c>
      <c r="J2" s="13">
        <v>192.459</v>
      </c>
      <c r="K2" s="13">
        <v>217.21700000000001</v>
      </c>
      <c r="L2" s="13">
        <v>173.97499999999999</v>
      </c>
    </row>
    <row r="3" spans="1:12" x14ac:dyDescent="0.75">
      <c r="A3" t="s">
        <v>67</v>
      </c>
      <c r="B3" s="13">
        <v>12.978999999999999</v>
      </c>
      <c r="C3" s="13">
        <v>15.077</v>
      </c>
      <c r="D3" s="13">
        <v>20.757000000000001</v>
      </c>
      <c r="E3" s="13">
        <v>21.102</v>
      </c>
      <c r="F3" s="13">
        <v>22.388999999999999</v>
      </c>
      <c r="G3" s="13">
        <v>22.481999999999999</v>
      </c>
      <c r="H3" s="13">
        <v>27.27</v>
      </c>
      <c r="I3" s="13">
        <v>98.528000000000006</v>
      </c>
      <c r="J3" s="13">
        <v>19.260000000000002</v>
      </c>
      <c r="K3" s="13">
        <v>20.576000000000001</v>
      </c>
      <c r="L3" s="13">
        <v>22.021000000000001</v>
      </c>
    </row>
    <row r="4" spans="1:12" x14ac:dyDescent="0.75">
      <c r="A4" t="s">
        <v>68</v>
      </c>
      <c r="B4" s="13">
        <v>24.706</v>
      </c>
      <c r="C4" s="13">
        <v>21.109000000000002</v>
      </c>
      <c r="D4" s="13">
        <v>15.081</v>
      </c>
      <c r="E4" s="13">
        <v>16.373999999999999</v>
      </c>
      <c r="F4" s="13">
        <v>-1.258</v>
      </c>
      <c r="G4" s="13">
        <v>31.802</v>
      </c>
      <c r="H4" s="13">
        <v>36.058</v>
      </c>
      <c r="I4" s="13">
        <v>5.93</v>
      </c>
      <c r="J4" s="13">
        <v>27.027000000000001</v>
      </c>
      <c r="K4" s="13">
        <v>22.201000000000001</v>
      </c>
      <c r="L4" s="13">
        <v>30.457000000000001</v>
      </c>
    </row>
    <row r="5" spans="1:12" x14ac:dyDescent="0.75">
      <c r="A5" t="s">
        <v>69</v>
      </c>
      <c r="B5" s="13">
        <v>37.685000000000002</v>
      </c>
      <c r="C5" s="13">
        <v>36.186</v>
      </c>
      <c r="D5" s="13">
        <v>35.838000000000001</v>
      </c>
      <c r="E5" s="13">
        <v>37.475999999999999</v>
      </c>
      <c r="F5" s="13">
        <v>21.131</v>
      </c>
      <c r="G5" s="13">
        <v>54.283999999999999</v>
      </c>
      <c r="H5" s="13">
        <v>63.328000000000003</v>
      </c>
      <c r="I5" s="14">
        <v>104458</v>
      </c>
      <c r="J5" s="13">
        <v>46.286999999999999</v>
      </c>
      <c r="K5" s="13">
        <v>42.777000000000001</v>
      </c>
      <c r="L5" s="13">
        <v>52.478000000000002</v>
      </c>
    </row>
    <row r="6" spans="1:12" x14ac:dyDescent="0.75">
      <c r="A6" t="s">
        <v>70</v>
      </c>
      <c r="B6" s="13">
        <v>33.671999999999997</v>
      </c>
      <c r="C6" s="13">
        <v>-0.14399999999999999</v>
      </c>
      <c r="D6" s="13">
        <v>-11.071</v>
      </c>
      <c r="E6" s="13">
        <v>-13.617000000000001</v>
      </c>
      <c r="F6" s="13">
        <v>22.683</v>
      </c>
      <c r="G6" s="13">
        <v>4.9660000000000002</v>
      </c>
      <c r="H6" s="13">
        <v>-17.837</v>
      </c>
      <c r="I6" s="13">
        <v>-23.077999999999999</v>
      </c>
      <c r="J6" s="13">
        <v>-112.89400000000001</v>
      </c>
      <c r="K6" s="13">
        <v>106.458</v>
      </c>
      <c r="L6" s="13">
        <v>-19.954999999999998</v>
      </c>
    </row>
    <row r="7" spans="1:12" x14ac:dyDescent="0.75">
      <c r="A7" t="s">
        <v>71</v>
      </c>
      <c r="B7" s="13">
        <v>-10.013</v>
      </c>
      <c r="C7" s="13">
        <v>-1.841</v>
      </c>
      <c r="D7" s="13">
        <v>-9.4030000000000005</v>
      </c>
      <c r="E7" s="13">
        <v>-17.744</v>
      </c>
      <c r="F7" s="13">
        <v>21.135000000000002</v>
      </c>
      <c r="G7" s="13">
        <v>-26.922999999999998</v>
      </c>
      <c r="H7" s="13">
        <v>8.4359999999999999</v>
      </c>
      <c r="I7" s="13">
        <v>35.475999999999999</v>
      </c>
      <c r="J7" s="13">
        <v>-153.79300000000001</v>
      </c>
      <c r="K7" s="13">
        <v>29.071000000000002</v>
      </c>
      <c r="L7" s="13">
        <v>25.303000000000001</v>
      </c>
    </row>
    <row r="8" spans="1:12" x14ac:dyDescent="0.75">
      <c r="A8" t="s">
        <v>72</v>
      </c>
      <c r="B8" s="13">
        <v>-59.878</v>
      </c>
      <c r="C8" s="13">
        <v>3.7879999999999998</v>
      </c>
      <c r="D8" s="13">
        <v>15.19</v>
      </c>
      <c r="E8" s="13">
        <v>9.1349999999999998</v>
      </c>
      <c r="F8" s="13">
        <v>-38.106000000000002</v>
      </c>
      <c r="G8" s="13">
        <v>-30.527000000000001</v>
      </c>
      <c r="H8" s="13">
        <v>27.384</v>
      </c>
      <c r="I8" s="13">
        <v>-13.07</v>
      </c>
      <c r="J8" s="13">
        <v>-9.3119999999999994</v>
      </c>
      <c r="K8" s="13">
        <v>-13.037000000000001</v>
      </c>
      <c r="L8" s="13">
        <v>-9.8650000000000002</v>
      </c>
    </row>
    <row r="9" spans="1:12" x14ac:dyDescent="0.75">
      <c r="A9" t="s">
        <v>73</v>
      </c>
      <c r="B9" s="13">
        <v>-15.516999999999999</v>
      </c>
      <c r="C9" s="13">
        <v>3.5139999999999998</v>
      </c>
      <c r="D9" s="13">
        <v>-13.53</v>
      </c>
      <c r="E9" s="13">
        <v>-5.1459999999999999</v>
      </c>
      <c r="F9" s="13">
        <v>17.666</v>
      </c>
      <c r="G9" s="13">
        <v>-30.407</v>
      </c>
      <c r="H9" s="13">
        <v>28.73</v>
      </c>
      <c r="I9" s="13">
        <v>41.970999999999997</v>
      </c>
      <c r="J9" s="13">
        <v>-79.283000000000001</v>
      </c>
      <c r="K9" s="13">
        <v>10.605</v>
      </c>
      <c r="L9" s="13">
        <v>2.8069999999999999</v>
      </c>
    </row>
    <row r="10" spans="1:12" x14ac:dyDescent="0.75">
      <c r="A10" t="s">
        <v>74</v>
      </c>
      <c r="B10" s="13">
        <v>155.453</v>
      </c>
      <c r="C10" s="13">
        <v>152.32900000000001</v>
      </c>
      <c r="D10" s="13">
        <v>135.96299999999999</v>
      </c>
      <c r="E10" s="13">
        <v>153.60400000000001</v>
      </c>
      <c r="F10" s="13">
        <v>157.935</v>
      </c>
      <c r="G10" s="13">
        <v>154.376</v>
      </c>
      <c r="H10" s="13">
        <v>233.78</v>
      </c>
      <c r="I10" s="13">
        <v>44.206000000000003</v>
      </c>
      <c r="J10" s="13">
        <v>159.46299999999999</v>
      </c>
      <c r="K10" s="13">
        <v>267.88299999999998</v>
      </c>
      <c r="L10" s="13">
        <v>229.23699999999999</v>
      </c>
    </row>
    <row r="11" spans="1:12" x14ac:dyDescent="0.75">
      <c r="A11" t="s">
        <v>75</v>
      </c>
      <c r="B11" s="13">
        <v>-20.745999999999999</v>
      </c>
      <c r="C11" s="13">
        <v>-18.341000000000001</v>
      </c>
      <c r="D11" s="13">
        <v>-19.459</v>
      </c>
      <c r="E11" s="13">
        <v>-15.897</v>
      </c>
      <c r="F11" s="13">
        <v>-14.775</v>
      </c>
      <c r="G11" s="13">
        <v>-12.45</v>
      </c>
      <c r="H11" s="13">
        <v>-18.311</v>
      </c>
      <c r="I11" s="13">
        <v>-6.5620000000000003</v>
      </c>
      <c r="J11" s="13">
        <v>-6.6079999999999997</v>
      </c>
      <c r="K11" s="13">
        <v>-16.350999999999999</v>
      </c>
      <c r="L11" s="13">
        <v>-19.47</v>
      </c>
    </row>
    <row r="12" spans="1:12" x14ac:dyDescent="0.75">
      <c r="A12" t="s">
        <v>76</v>
      </c>
      <c r="C12" s="13"/>
      <c r="J12" s="14">
        <v>8</v>
      </c>
      <c r="K12" s="14">
        <v>-2</v>
      </c>
    </row>
    <row r="13" spans="1:12" x14ac:dyDescent="0.75">
      <c r="A13" t="s">
        <v>77</v>
      </c>
      <c r="B13" s="13">
        <v>-19.635000000000002</v>
      </c>
      <c r="C13" s="13">
        <v>-8.6850000000000005</v>
      </c>
      <c r="D13" s="13">
        <v>-9.1289999999999996</v>
      </c>
      <c r="F13" s="13">
        <v>-16.795000000000002</v>
      </c>
      <c r="H13" s="13">
        <v>-37.173000000000002</v>
      </c>
      <c r="L13" s="13">
        <v>-75.271000000000001</v>
      </c>
    </row>
    <row r="14" spans="1:12" x14ac:dyDescent="0.75">
      <c r="A14" t="s">
        <v>78</v>
      </c>
      <c r="B14" s="13">
        <v>-19.635000000000002</v>
      </c>
      <c r="C14" s="13">
        <v>-8.6850000000000005</v>
      </c>
      <c r="D14" s="13">
        <v>-5.5380000000000003</v>
      </c>
      <c r="E14" s="13">
        <v>11.763999999999999</v>
      </c>
      <c r="F14" s="13">
        <v>17.931999999999999</v>
      </c>
      <c r="G14" s="13">
        <v>23.515000000000001</v>
      </c>
      <c r="H14" s="13">
        <v>27.736000000000001</v>
      </c>
      <c r="I14" s="13">
        <v>1.6779999999999999</v>
      </c>
      <c r="J14" t="s">
        <v>79</v>
      </c>
      <c r="K14" s="13">
        <v>28.867999999999999</v>
      </c>
      <c r="L14" s="13">
        <v>0.184</v>
      </c>
    </row>
    <row r="15" spans="1:12" x14ac:dyDescent="0.75">
      <c r="A15" t="s">
        <v>80</v>
      </c>
      <c r="C15" s="13">
        <v>0.89300000000000002</v>
      </c>
      <c r="D15" s="13">
        <v>-5.5380000000000003</v>
      </c>
      <c r="E15" s="13">
        <v>11.763999999999999</v>
      </c>
      <c r="F15" s="13">
        <v>17.931999999999999</v>
      </c>
      <c r="G15" s="13">
        <v>23.515000000000001</v>
      </c>
      <c r="H15" s="13">
        <v>27.736000000000001</v>
      </c>
      <c r="I15" s="13">
        <v>1.6779999999999999</v>
      </c>
      <c r="J15" s="13">
        <v>-4.6040000000000001</v>
      </c>
      <c r="K15" s="13">
        <v>28.867999999999999</v>
      </c>
      <c r="L15" s="13">
        <v>0.184</v>
      </c>
    </row>
    <row r="16" spans="1:12" x14ac:dyDescent="0.75">
      <c r="A16" t="s">
        <v>81</v>
      </c>
      <c r="B16" s="13">
        <v>-40.381</v>
      </c>
      <c r="C16" s="13">
        <v>-108.018</v>
      </c>
      <c r="D16" s="13">
        <v>0.46600000000000003</v>
      </c>
      <c r="E16" s="13">
        <v>0.249</v>
      </c>
      <c r="F16" s="13">
        <v>0.221</v>
      </c>
      <c r="K16" s="14">
        <v>-5</v>
      </c>
      <c r="L16" s="13">
        <v>-5.335</v>
      </c>
    </row>
    <row r="17" spans="1:12" x14ac:dyDescent="0.75">
      <c r="A17" t="s">
        <v>82</v>
      </c>
      <c r="B17" s="13">
        <v>-96.37</v>
      </c>
      <c r="C17" s="13">
        <v>-137.285</v>
      </c>
      <c r="D17" s="13">
        <v>-33.659999999999997</v>
      </c>
      <c r="E17" s="13">
        <v>-3.8839999999999999</v>
      </c>
      <c r="F17" s="13">
        <v>-13.417</v>
      </c>
      <c r="G17" s="13">
        <v>11.065</v>
      </c>
      <c r="H17" s="13">
        <v>-27.748000000000001</v>
      </c>
      <c r="I17" t="s">
        <v>83</v>
      </c>
      <c r="J17" s="13">
        <v>-3.2120000000000002</v>
      </c>
      <c r="K17" s="13">
        <v>5.5170000000000003</v>
      </c>
      <c r="L17" s="13">
        <v>-99.891999999999996</v>
      </c>
    </row>
    <row r="18" spans="1:12" x14ac:dyDescent="0.75">
      <c r="A18" t="s">
        <v>84</v>
      </c>
      <c r="B18" s="13">
        <v>-96.37</v>
      </c>
      <c r="C18" s="13">
        <v>-137.285</v>
      </c>
      <c r="D18" s="13">
        <v>-114.336</v>
      </c>
      <c r="E18" s="13">
        <v>-75.292000000000002</v>
      </c>
      <c r="F18" s="13">
        <v>-82.978999999999999</v>
      </c>
      <c r="G18" s="13">
        <v>-92.888000000000005</v>
      </c>
      <c r="H18" s="13">
        <v>-95.555999999999997</v>
      </c>
      <c r="I18" s="13">
        <v>-44.973999999999997</v>
      </c>
      <c r="J18" s="13">
        <v>-113.429</v>
      </c>
      <c r="K18" s="13">
        <v>-147.25899999999999</v>
      </c>
      <c r="L18" s="13">
        <v>-141.143</v>
      </c>
    </row>
    <row r="19" spans="1:12" x14ac:dyDescent="0.75">
      <c r="A19" t="s">
        <v>85</v>
      </c>
      <c r="B19" s="13">
        <v>-7.2039999999999997</v>
      </c>
      <c r="C19" s="13">
        <v>-5.4969999999999999</v>
      </c>
      <c r="D19" s="13">
        <v>-114.336</v>
      </c>
      <c r="E19" s="13">
        <v>-75.292000000000002</v>
      </c>
      <c r="F19" s="13">
        <v>-82.978999999999999</v>
      </c>
      <c r="G19" s="13">
        <v>-92.888000000000005</v>
      </c>
      <c r="H19" s="13">
        <v>-95.555999999999997</v>
      </c>
      <c r="I19" s="13">
        <v>-44.973999999999997</v>
      </c>
      <c r="J19" s="13">
        <v>-113.429</v>
      </c>
      <c r="K19" s="13">
        <v>-147.25899999999999</v>
      </c>
      <c r="L19" s="13">
        <v>-141.143</v>
      </c>
    </row>
    <row r="20" spans="1:12" x14ac:dyDescent="0.75">
      <c r="A20" t="s">
        <v>86</v>
      </c>
      <c r="B20" s="13">
        <v>-103.574</v>
      </c>
      <c r="C20" s="13">
        <v>-142.78200000000001</v>
      </c>
      <c r="G20" s="13">
        <v>-47.316000000000003</v>
      </c>
      <c r="H20" s="13">
        <v>-48.426000000000002</v>
      </c>
      <c r="I20" s="13">
        <v>-12.459</v>
      </c>
      <c r="J20" s="13">
        <v>-49.161000000000001</v>
      </c>
      <c r="K20" s="13">
        <v>-66.004999999999995</v>
      </c>
      <c r="L20" s="13">
        <v>-63.177</v>
      </c>
    </row>
    <row r="21" spans="1:12" x14ac:dyDescent="0.75">
      <c r="A21" t="s">
        <v>87</v>
      </c>
      <c r="B21" s="13">
        <v>11.497999999999999</v>
      </c>
      <c r="C21" s="13">
        <v>-98.825000000000003</v>
      </c>
      <c r="D21" s="13">
        <v>4.24</v>
      </c>
      <c r="E21" s="13">
        <v>-20.161000000000001</v>
      </c>
      <c r="F21" s="13">
        <v>-7.359</v>
      </c>
      <c r="G21" s="13">
        <v>-5.6059999999999999</v>
      </c>
      <c r="H21" s="13">
        <v>1.804</v>
      </c>
      <c r="I21" s="13">
        <v>0.35899999999999999</v>
      </c>
      <c r="J21" s="13">
        <v>-22.062999999999999</v>
      </c>
      <c r="K21" s="13">
        <v>-2.5640000000000001</v>
      </c>
      <c r="L21" s="13">
        <v>3.3839999999999999</v>
      </c>
    </row>
    <row r="22" spans="1:12" x14ac:dyDescent="0.75">
      <c r="A22" t="s">
        <v>88</v>
      </c>
      <c r="B22" s="13">
        <v>20.140999999999998</v>
      </c>
      <c r="C22" s="13">
        <v>19.260000000000002</v>
      </c>
      <c r="D22" s="13">
        <v>-110.096</v>
      </c>
      <c r="E22" s="13">
        <v>-95.453000000000003</v>
      </c>
      <c r="F22" s="13">
        <v>-90.337999999999994</v>
      </c>
      <c r="G22" s="13">
        <v>-145.81</v>
      </c>
      <c r="H22" s="13">
        <v>-142.178</v>
      </c>
      <c r="I22" s="13">
        <v>-57.073999999999998</v>
      </c>
      <c r="J22" s="13">
        <v>-184.65299999999999</v>
      </c>
      <c r="K22" s="13">
        <v>-215.828</v>
      </c>
      <c r="L22" s="13">
        <v>-200.93600000000001</v>
      </c>
    </row>
    <row r="23" spans="1:12" x14ac:dyDescent="0.75">
      <c r="A23" t="s">
        <v>89</v>
      </c>
      <c r="D23" s="13">
        <v>-9.0359999999999996</v>
      </c>
      <c r="E23" s="13">
        <v>53.701000000000001</v>
      </c>
      <c r="F23" s="13">
        <v>55.098999999999997</v>
      </c>
      <c r="G23" s="13">
        <v>18.817</v>
      </c>
      <c r="H23" s="13">
        <v>64.069999999999993</v>
      </c>
      <c r="I23" s="13">
        <v>-16.236999999999998</v>
      </c>
      <c r="J23" s="13">
        <v>-28.364999999999998</v>
      </c>
      <c r="K23" s="13">
        <v>55.213999999999999</v>
      </c>
      <c r="L23" s="13">
        <v>-70.072999999999993</v>
      </c>
    </row>
    <row r="24" spans="1:12" x14ac:dyDescent="0.75">
      <c r="A24" t="s">
        <v>90</v>
      </c>
      <c r="D24" s="13">
        <v>18.698</v>
      </c>
      <c r="E24" s="13">
        <v>19.509</v>
      </c>
      <c r="F24" s="13">
        <v>20.847000000000001</v>
      </c>
      <c r="G24" s="13">
        <v>21.076000000000001</v>
      </c>
      <c r="H24" s="13">
        <v>23.17</v>
      </c>
      <c r="I24" s="13">
        <v>22.638999999999999</v>
      </c>
      <c r="J24" s="13">
        <v>22.277999999999999</v>
      </c>
      <c r="K24" s="13">
        <v>24.396000000000001</v>
      </c>
      <c r="L24" s="13">
        <v>24.148</v>
      </c>
    </row>
    <row r="25" spans="1:12" x14ac:dyDescent="0.75">
      <c r="A25" t="s">
        <v>91</v>
      </c>
      <c r="G25" s="13">
        <v>-47.316000000000003</v>
      </c>
      <c r="H25" s="13">
        <v>-48.426000000000002</v>
      </c>
      <c r="I25" s="13">
        <v>-12.459</v>
      </c>
      <c r="J25" s="13">
        <v>-49.161000000000001</v>
      </c>
      <c r="K25" s="13">
        <v>-66.004999999999995</v>
      </c>
      <c r="L25" s="13">
        <v>-63.177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DCF</vt:lpstr>
      <vt:lpstr>WACC</vt:lpstr>
      <vt:lpstr>Balance sheet</vt:lpstr>
      <vt:lpstr>Predictions</vt:lpstr>
      <vt:lpstr>IS</vt:lpstr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 Paudel</dc:creator>
  <cp:lastModifiedBy>Anuj Paudel</cp:lastModifiedBy>
  <dcterms:created xsi:type="dcterms:W3CDTF">2024-05-08T08:00:06Z</dcterms:created>
  <dcterms:modified xsi:type="dcterms:W3CDTF">2024-09-17T12:11:44Z</dcterms:modified>
</cp:coreProperties>
</file>