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ELL\Desktop\DCFs\"/>
    </mc:Choice>
  </mc:AlternateContent>
  <xr:revisionPtr revIDLastSave="0" documentId="13_ncr:1_{E13ECB7F-874E-4DEB-A9A8-C1547C3B365A}" xr6:coauthVersionLast="47" xr6:coauthVersionMax="47" xr10:uidLastSave="{00000000-0000-0000-0000-000000000000}"/>
  <bookViews>
    <workbookView xWindow="-90" yWindow="-90" windowWidth="19380" windowHeight="10260" xr2:uid="{D9FABC73-5451-4FE2-8AA6-7C6DFA3A1DF3}"/>
  </bookViews>
  <sheets>
    <sheet name="DCF" sheetId="1" r:id="rId1"/>
    <sheet name="WACC" sheetId="5" r:id="rId2"/>
    <sheet name="Balance Sheet" sheetId="4" r:id="rId3"/>
    <sheet name="Historicals" sheetId="2" r:id="rId4"/>
    <sheet name="Cashflow Statements" sheetId="3" r:id="rId5"/>
  </sheets>
  <definedNames>
    <definedName name="tgr">DCF!$D$17</definedName>
    <definedName name="wacc">DCF!$D$16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79" i="1" l="1"/>
  <c r="S76" i="1"/>
  <c r="S75" i="1"/>
  <c r="D17" i="1"/>
  <c r="D16" i="1"/>
  <c r="Q10" i="1"/>
  <c r="I11" i="1"/>
  <c r="M11" i="1"/>
  <c r="C14" i="5"/>
  <c r="C7" i="5"/>
  <c r="C19" i="5" s="1"/>
  <c r="C8" i="5" s="1"/>
  <c r="N66" i="1"/>
  <c r="M66" i="1"/>
  <c r="L66" i="1"/>
  <c r="K66" i="1"/>
  <c r="J66" i="1"/>
  <c r="I66" i="1"/>
  <c r="H66" i="1"/>
  <c r="G66" i="1"/>
  <c r="F66" i="1"/>
  <c r="E66" i="1"/>
  <c r="D66" i="1"/>
  <c r="N65" i="1"/>
  <c r="M65" i="1"/>
  <c r="L65" i="1"/>
  <c r="K65" i="1"/>
  <c r="J65" i="1"/>
  <c r="I65" i="1"/>
  <c r="H65" i="1"/>
  <c r="G65" i="1"/>
  <c r="F65" i="1"/>
  <c r="E65" i="1"/>
  <c r="D65" i="1"/>
  <c r="S66" i="1"/>
  <c r="R66" i="1"/>
  <c r="Q66" i="1"/>
  <c r="P66" i="1"/>
  <c r="O66" i="1"/>
  <c r="S65" i="1"/>
  <c r="R65" i="1"/>
  <c r="Q65" i="1"/>
  <c r="P65" i="1"/>
  <c r="O65" i="1"/>
  <c r="S63" i="1"/>
  <c r="R63" i="1"/>
  <c r="Q63" i="1"/>
  <c r="P63" i="1"/>
  <c r="O63" i="1"/>
  <c r="S62" i="1"/>
  <c r="R62" i="1"/>
  <c r="Q62" i="1"/>
  <c r="P62" i="1"/>
  <c r="O62" i="1"/>
  <c r="S60" i="1"/>
  <c r="R60" i="1"/>
  <c r="Q60" i="1"/>
  <c r="P60" i="1"/>
  <c r="O60" i="1"/>
  <c r="S59" i="1"/>
  <c r="R59" i="1"/>
  <c r="Q59" i="1"/>
  <c r="P59" i="1"/>
  <c r="O59" i="1"/>
  <c r="C13" i="5" l="1"/>
  <c r="C21" i="5"/>
  <c r="S53" i="1" l="1"/>
  <c r="R53" i="1"/>
  <c r="Q53" i="1"/>
  <c r="P53" i="1"/>
  <c r="O53" i="1"/>
  <c r="R54" i="1"/>
  <c r="Q54" i="1"/>
  <c r="P54" i="1"/>
  <c r="O54" i="1"/>
  <c r="N53" i="1"/>
  <c r="M53" i="1"/>
  <c r="L53" i="1"/>
  <c r="K53" i="1"/>
  <c r="J53" i="1"/>
  <c r="I53" i="1"/>
  <c r="H53" i="1"/>
  <c r="G53" i="1"/>
  <c r="F53" i="1"/>
  <c r="E53" i="1"/>
  <c r="D53" i="1"/>
  <c r="N52" i="1"/>
  <c r="M52" i="1"/>
  <c r="L52" i="1"/>
  <c r="K52" i="1"/>
  <c r="J52" i="1"/>
  <c r="I52" i="1"/>
  <c r="H52" i="1"/>
  <c r="G52" i="1"/>
  <c r="F52" i="1"/>
  <c r="E52" i="1"/>
  <c r="D52" i="1"/>
  <c r="R48" i="1"/>
  <c r="Q48" i="1"/>
  <c r="P48" i="1"/>
  <c r="P47" i="1" s="1"/>
  <c r="P49" i="1"/>
  <c r="Q49" i="1" s="1"/>
  <c r="R49" i="1" s="1"/>
  <c r="R50" i="1"/>
  <c r="Q50" i="1"/>
  <c r="P50" i="1"/>
  <c r="S47" i="1"/>
  <c r="O47" i="1"/>
  <c r="S41" i="1"/>
  <c r="R41" i="1"/>
  <c r="Q41" i="1"/>
  <c r="P41" i="1"/>
  <c r="O41" i="1"/>
  <c r="O40" i="1" s="1"/>
  <c r="R43" i="1"/>
  <c r="Q43" i="1"/>
  <c r="P43" i="1"/>
  <c r="R42" i="1"/>
  <c r="Q42" i="1"/>
  <c r="P42" i="1"/>
  <c r="R44" i="1"/>
  <c r="Q44" i="1"/>
  <c r="P44" i="1"/>
  <c r="O44" i="1"/>
  <c r="O42" i="1"/>
  <c r="O43" i="1"/>
  <c r="S36" i="1"/>
  <c r="R36" i="1"/>
  <c r="Q36" i="1"/>
  <c r="P36" i="1"/>
  <c r="O36" i="1"/>
  <c r="Q37" i="1"/>
  <c r="R37" i="1" s="1"/>
  <c r="P37" i="1"/>
  <c r="O37" i="1"/>
  <c r="O31" i="1"/>
  <c r="P31" i="1" s="1"/>
  <c r="Q31" i="1" s="1"/>
  <c r="R31" i="1" s="1"/>
  <c r="S31" i="1" s="1"/>
  <c r="R47" i="1" l="1"/>
  <c r="Q47" i="1"/>
  <c r="O46" i="1"/>
  <c r="P40" i="1"/>
  <c r="Q40" i="1" s="1"/>
  <c r="S37" i="1"/>
  <c r="O52" i="1" l="1"/>
  <c r="O57" i="1" s="1"/>
  <c r="O68" i="1" s="1"/>
  <c r="O69" i="1" s="1"/>
  <c r="P46" i="1"/>
  <c r="R40" i="1"/>
  <c r="Q46" i="1"/>
  <c r="N63" i="1"/>
  <c r="M63" i="1"/>
  <c r="L63" i="1"/>
  <c r="K63" i="1"/>
  <c r="J63" i="1"/>
  <c r="I63" i="1"/>
  <c r="H63" i="1"/>
  <c r="G63" i="1"/>
  <c r="F63" i="1"/>
  <c r="E63" i="1"/>
  <c r="D63" i="1"/>
  <c r="N62" i="1"/>
  <c r="M62" i="1"/>
  <c r="L62" i="1"/>
  <c r="K62" i="1"/>
  <c r="J62" i="1"/>
  <c r="I62" i="1"/>
  <c r="H62" i="1"/>
  <c r="G62" i="1"/>
  <c r="F62" i="1"/>
  <c r="E62" i="1"/>
  <c r="D62" i="1"/>
  <c r="N60" i="1"/>
  <c r="M60" i="1"/>
  <c r="L60" i="1"/>
  <c r="K60" i="1"/>
  <c r="J60" i="1"/>
  <c r="I60" i="1"/>
  <c r="H60" i="1"/>
  <c r="G60" i="1"/>
  <c r="F60" i="1"/>
  <c r="E60" i="1"/>
  <c r="D60" i="1"/>
  <c r="N59" i="1"/>
  <c r="M59" i="1"/>
  <c r="L59" i="1"/>
  <c r="K59" i="1"/>
  <c r="J59" i="1"/>
  <c r="I59" i="1"/>
  <c r="H59" i="1"/>
  <c r="G59" i="1"/>
  <c r="F59" i="1"/>
  <c r="E59" i="1"/>
  <c r="D59" i="1"/>
  <c r="S26" i="1"/>
  <c r="R26" i="1"/>
  <c r="Q26" i="1"/>
  <c r="P26" i="1"/>
  <c r="O26" i="1"/>
  <c r="Q27" i="1"/>
  <c r="R27" i="1" s="1"/>
  <c r="S27" i="1" s="1"/>
  <c r="P27" i="1"/>
  <c r="O27" i="1"/>
  <c r="S24" i="1"/>
  <c r="R24" i="1"/>
  <c r="Q24" i="1"/>
  <c r="P24" i="1"/>
  <c r="O24" i="1"/>
  <c r="R23" i="1"/>
  <c r="Q23" i="1"/>
  <c r="P23" i="1"/>
  <c r="O23" i="1"/>
  <c r="N27" i="1"/>
  <c r="M27" i="1"/>
  <c r="L27" i="1"/>
  <c r="K27" i="1"/>
  <c r="J27" i="1"/>
  <c r="I27" i="1"/>
  <c r="H27" i="1"/>
  <c r="G27" i="1"/>
  <c r="F27" i="1"/>
  <c r="E27" i="1"/>
  <c r="D27" i="1"/>
  <c r="N26" i="1"/>
  <c r="M26" i="1"/>
  <c r="L26" i="1"/>
  <c r="K26" i="1"/>
  <c r="J26" i="1"/>
  <c r="I26" i="1"/>
  <c r="H26" i="1"/>
  <c r="G26" i="1"/>
  <c r="F26" i="1"/>
  <c r="E26" i="1"/>
  <c r="D26" i="1"/>
  <c r="Q52" i="1" l="1"/>
  <c r="Q57" i="1" s="1"/>
  <c r="Q68" i="1" s="1"/>
  <c r="Q69" i="1" s="1"/>
  <c r="P52" i="1"/>
  <c r="P57" i="1" s="1"/>
  <c r="P68" i="1" s="1"/>
  <c r="P69" i="1" s="1"/>
  <c r="S40" i="1"/>
  <c r="R46" i="1"/>
  <c r="S33" i="1"/>
  <c r="R33" i="1"/>
  <c r="Q33" i="1"/>
  <c r="P33" i="1"/>
  <c r="O33" i="1"/>
  <c r="O30" i="1"/>
  <c r="P34" i="1"/>
  <c r="Q34" i="1" s="1"/>
  <c r="R34" i="1" s="1"/>
  <c r="O34" i="1"/>
  <c r="R20" i="1"/>
  <c r="S20" i="1" s="1"/>
  <c r="Q20" i="1"/>
  <c r="R21" i="1"/>
  <c r="S21" i="1" s="1"/>
  <c r="Q21" i="1"/>
  <c r="P21" i="1"/>
  <c r="O21" i="1"/>
  <c r="N47" i="1"/>
  <c r="M47" i="1"/>
  <c r="L47" i="1"/>
  <c r="K47" i="1"/>
  <c r="J47" i="1"/>
  <c r="I47" i="1"/>
  <c r="H47" i="1"/>
  <c r="G47" i="1"/>
  <c r="F47" i="1"/>
  <c r="E47" i="1"/>
  <c r="D47" i="1"/>
  <c r="N46" i="1"/>
  <c r="M46" i="1"/>
  <c r="L46" i="1"/>
  <c r="K46" i="1"/>
  <c r="J46" i="1"/>
  <c r="I46" i="1"/>
  <c r="H46" i="1"/>
  <c r="G46" i="1"/>
  <c r="F46" i="1"/>
  <c r="E46" i="1"/>
  <c r="D46" i="1"/>
  <c r="N41" i="1"/>
  <c r="M41" i="1"/>
  <c r="L41" i="1"/>
  <c r="K41" i="1"/>
  <c r="J41" i="1"/>
  <c r="I41" i="1"/>
  <c r="H41" i="1"/>
  <c r="G41" i="1"/>
  <c r="F41" i="1"/>
  <c r="E41" i="1"/>
  <c r="D41" i="1"/>
  <c r="N40" i="1"/>
  <c r="M40" i="1"/>
  <c r="L40" i="1"/>
  <c r="K40" i="1"/>
  <c r="J40" i="1"/>
  <c r="I40" i="1"/>
  <c r="H40" i="1"/>
  <c r="G40" i="1"/>
  <c r="F40" i="1"/>
  <c r="E40" i="1"/>
  <c r="D40" i="1"/>
  <c r="N37" i="1"/>
  <c r="M37" i="1"/>
  <c r="L37" i="1"/>
  <c r="K37" i="1"/>
  <c r="J37" i="1"/>
  <c r="I37" i="1"/>
  <c r="H37" i="1"/>
  <c r="G37" i="1"/>
  <c r="F37" i="1"/>
  <c r="E37" i="1"/>
  <c r="D37" i="1"/>
  <c r="N36" i="1"/>
  <c r="M36" i="1"/>
  <c r="L36" i="1"/>
  <c r="K36" i="1"/>
  <c r="J36" i="1"/>
  <c r="I36" i="1"/>
  <c r="H36" i="1"/>
  <c r="G36" i="1"/>
  <c r="F36" i="1"/>
  <c r="E36" i="1"/>
  <c r="D36" i="1"/>
  <c r="N31" i="1"/>
  <c r="M31" i="1"/>
  <c r="L31" i="1"/>
  <c r="K31" i="1"/>
  <c r="J31" i="1"/>
  <c r="I31" i="1"/>
  <c r="H31" i="1"/>
  <c r="G31" i="1"/>
  <c r="F31" i="1"/>
  <c r="E31" i="1"/>
  <c r="D31" i="1"/>
  <c r="N30" i="1"/>
  <c r="M30" i="1"/>
  <c r="L30" i="1"/>
  <c r="K30" i="1"/>
  <c r="J30" i="1"/>
  <c r="I30" i="1"/>
  <c r="H30" i="1"/>
  <c r="G30" i="1"/>
  <c r="F30" i="1"/>
  <c r="E30" i="1"/>
  <c r="D30" i="1"/>
  <c r="N34" i="1"/>
  <c r="M34" i="1"/>
  <c r="L34" i="1"/>
  <c r="K34" i="1"/>
  <c r="J34" i="1"/>
  <c r="I34" i="1"/>
  <c r="H34" i="1"/>
  <c r="G34" i="1"/>
  <c r="F34" i="1"/>
  <c r="E34" i="1"/>
  <c r="D34" i="1"/>
  <c r="N33" i="1"/>
  <c r="M33" i="1"/>
  <c r="L33" i="1"/>
  <c r="K33" i="1"/>
  <c r="J33" i="1"/>
  <c r="I33" i="1"/>
  <c r="H33" i="1"/>
  <c r="G33" i="1"/>
  <c r="F33" i="1"/>
  <c r="E33" i="1"/>
  <c r="D33" i="1"/>
  <c r="N21" i="1"/>
  <c r="M21" i="1"/>
  <c r="L21" i="1"/>
  <c r="K21" i="1"/>
  <c r="J21" i="1"/>
  <c r="I21" i="1"/>
  <c r="H21" i="1"/>
  <c r="G21" i="1"/>
  <c r="F21" i="1"/>
  <c r="E21" i="1"/>
  <c r="N24" i="1"/>
  <c r="M24" i="1"/>
  <c r="L24" i="1"/>
  <c r="K24" i="1"/>
  <c r="J24" i="1"/>
  <c r="I24" i="1"/>
  <c r="H24" i="1"/>
  <c r="G24" i="1"/>
  <c r="F24" i="1"/>
  <c r="E24" i="1"/>
  <c r="D24" i="1"/>
  <c r="N23" i="1"/>
  <c r="M23" i="1"/>
  <c r="L23" i="1"/>
  <c r="K23" i="1"/>
  <c r="J23" i="1"/>
  <c r="I23" i="1"/>
  <c r="H23" i="1"/>
  <c r="G23" i="1"/>
  <c r="F23" i="1"/>
  <c r="E23" i="1"/>
  <c r="D23" i="1"/>
  <c r="N20" i="1"/>
  <c r="M20" i="1"/>
  <c r="L20" i="1"/>
  <c r="K20" i="1"/>
  <c r="J20" i="1"/>
  <c r="I20" i="1"/>
  <c r="H20" i="1"/>
  <c r="G20" i="1"/>
  <c r="F20" i="1"/>
  <c r="E20" i="1"/>
  <c r="D20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R19" i="1"/>
  <c r="S19" i="1" s="1"/>
  <c r="F19" i="1"/>
  <c r="G19" i="1" s="1"/>
  <c r="H19" i="1" s="1"/>
  <c r="I19" i="1" s="1"/>
  <c r="J19" i="1" s="1"/>
  <c r="K19" i="1" s="1"/>
  <c r="L19" i="1" s="1"/>
  <c r="M19" i="1" s="1"/>
  <c r="N19" i="1" s="1"/>
  <c r="O19" i="1" s="1"/>
  <c r="P19" i="1" s="1"/>
  <c r="Q19" i="1" s="1"/>
  <c r="E19" i="1"/>
  <c r="L17" i="2"/>
  <c r="K17" i="2"/>
  <c r="J17" i="2"/>
  <c r="I17" i="2"/>
  <c r="H17" i="2"/>
  <c r="G17" i="2"/>
  <c r="F17" i="2"/>
  <c r="E17" i="2"/>
  <c r="D17" i="2"/>
  <c r="C17" i="2"/>
  <c r="B17" i="2"/>
  <c r="D7" i="2"/>
  <c r="L5" i="2"/>
  <c r="K5" i="2"/>
  <c r="J5" i="2"/>
  <c r="I5" i="2"/>
  <c r="H5" i="2"/>
  <c r="G5" i="2"/>
  <c r="F5" i="2"/>
  <c r="E5" i="2"/>
  <c r="D5" i="2"/>
  <c r="C5" i="2"/>
  <c r="B5" i="2"/>
  <c r="R52" i="1" l="1"/>
  <c r="R57" i="1" s="1"/>
  <c r="R68" i="1" s="1"/>
  <c r="R69" i="1" s="1"/>
  <c r="S46" i="1"/>
  <c r="Q30" i="1"/>
  <c r="P30" i="1"/>
  <c r="S34" i="1"/>
  <c r="S52" i="1" l="1"/>
  <c r="S57" i="1" s="1"/>
  <c r="S68" i="1" s="1"/>
  <c r="R30" i="1"/>
  <c r="S30" i="1"/>
  <c r="S69" i="1" l="1"/>
  <c r="S72" i="1"/>
  <c r="S73" i="1" s="1"/>
  <c r="S74" i="1" l="1"/>
  <c r="S77" i="1" s="1"/>
  <c r="S80" i="1" l="1"/>
  <c r="G4" i="1" s="1"/>
</calcChain>
</file>

<file path=xl/sharedStrings.xml><?xml version="1.0" encoding="utf-8"?>
<sst xmlns="http://schemas.openxmlformats.org/spreadsheetml/2006/main" count="178" uniqueCount="142">
  <si>
    <t>Manchester United DCF</t>
  </si>
  <si>
    <t>Ticker</t>
  </si>
  <si>
    <t>Implied Shares</t>
  </si>
  <si>
    <t>Date</t>
  </si>
  <si>
    <t>Actual</t>
  </si>
  <si>
    <t>x</t>
  </si>
  <si>
    <t>Assumptions</t>
  </si>
  <si>
    <t>Switches</t>
  </si>
  <si>
    <t>Conservative</t>
  </si>
  <si>
    <t>Street / Base</t>
  </si>
  <si>
    <t>Optimistic</t>
  </si>
  <si>
    <t>Revenue Growth</t>
  </si>
  <si>
    <t>EBIT Margin</t>
  </si>
  <si>
    <t>EBIT</t>
  </si>
  <si>
    <t>WACC</t>
  </si>
  <si>
    <t>TGR</t>
  </si>
  <si>
    <t>Taxes</t>
  </si>
  <si>
    <t>Valuation Assumptions</t>
  </si>
  <si>
    <t>Revenue</t>
  </si>
  <si>
    <t xml:space="preserve">Revenue </t>
  </si>
  <si>
    <t>%growth</t>
  </si>
  <si>
    <t>%sales</t>
  </si>
  <si>
    <t>%of EDBIT</t>
  </si>
  <si>
    <t>Income Statement</t>
  </si>
  <si>
    <t>Cashflow Statements</t>
  </si>
  <si>
    <t>D&amp;A</t>
  </si>
  <si>
    <t>%of sales</t>
  </si>
  <si>
    <t>Capex</t>
  </si>
  <si>
    <t>Change in WC</t>
  </si>
  <si>
    <t>DCF</t>
  </si>
  <si>
    <t>% of growth</t>
  </si>
  <si>
    <t>Conservative Case</t>
  </si>
  <si>
    <t>Street Case</t>
  </si>
  <si>
    <t>Optimistic Case</t>
  </si>
  <si>
    <t>% of EBIT</t>
  </si>
  <si>
    <t>EBITA</t>
  </si>
  <si>
    <t xml:space="preserve">Unlevered Cash Flow  </t>
  </si>
  <si>
    <t>Present Cash Flow</t>
  </si>
  <si>
    <t>Terminal Value</t>
  </si>
  <si>
    <t>present value of TV</t>
  </si>
  <si>
    <t>Enterprise value</t>
  </si>
  <si>
    <t>(+) cash</t>
  </si>
  <si>
    <t>(-) debt</t>
  </si>
  <si>
    <t>Equity value</t>
  </si>
  <si>
    <t>shares outstanding</t>
  </si>
  <si>
    <t>implied share price</t>
  </si>
  <si>
    <t>MANU</t>
  </si>
  <si>
    <t>Annual Data</t>
  </si>
  <si>
    <t>Cost Of Goods Sold</t>
  </si>
  <si>
    <t>Gross Profit</t>
  </si>
  <si>
    <t>Research And Development Expenses SG&amp;A Expenses</t>
  </si>
  <si>
    <t>Operating Income</t>
  </si>
  <si>
    <t>Total Non-Operating Income/Expense</t>
  </si>
  <si>
    <t>Pre-Tax Income</t>
  </si>
  <si>
    <t>Income Taxes</t>
  </si>
  <si>
    <t>Net Income</t>
  </si>
  <si>
    <t>EBITDA</t>
  </si>
  <si>
    <t>Basic Shares Outstanding</t>
  </si>
  <si>
    <t>Shares Outstanding</t>
  </si>
  <si>
    <t>Basic EPS</t>
  </si>
  <si>
    <t>EPS - Earnings Per Share</t>
  </si>
  <si>
    <t xml:space="preserve">Other Operating Income Or Expenses </t>
  </si>
  <si>
    <t xml:space="preserve">Income After Taxes </t>
  </si>
  <si>
    <t>Income From Continuous Operations</t>
  </si>
  <si>
    <t xml:space="preserve"> Income From Discontinued Operations</t>
  </si>
  <si>
    <t>Annual Data Millions of US $ except per share data</t>
  </si>
  <si>
    <t>Net Income/Loss</t>
  </si>
  <si>
    <t>Total Depreciation And Amortization - Cash Flow</t>
  </si>
  <si>
    <t>Change In Accounts Receivable</t>
  </si>
  <si>
    <t>$-o.692</t>
  </si>
  <si>
    <t>Change In Inventories</t>
  </si>
  <si>
    <t>$-o.16</t>
  </si>
  <si>
    <t>$-o.071</t>
  </si>
  <si>
    <t>$-o.924</t>
  </si>
  <si>
    <t>$-o.902</t>
  </si>
  <si>
    <t>Change In Accounts Payable</t>
  </si>
  <si>
    <t>Change In Assets/Liabilities</t>
  </si>
  <si>
    <t>Total Change In Assets/Liabilities</t>
  </si>
  <si>
    <t>Cash Flow From Operating Activities</t>
  </si>
  <si>
    <t>$.4.816</t>
  </si>
  <si>
    <t>Net Change In Property, Plant, And Equipment</t>
  </si>
  <si>
    <t>Net Change In Intangible Assets Net Acquisitions/Divestitures</t>
  </si>
  <si>
    <t>Net Change In Short-term Investments Net Change In Long-Term Investments</t>
  </si>
  <si>
    <t>$-o.813</t>
  </si>
  <si>
    <t>Net Change In Investments - Total</t>
  </si>
  <si>
    <t>$-o.003</t>
  </si>
  <si>
    <t>Investing Activities - Other</t>
  </si>
  <si>
    <t>Cash Flow From Investing Activities</t>
  </si>
  <si>
    <t>Net Long-Term Debt</t>
  </si>
  <si>
    <t>$-o.564</t>
  </si>
  <si>
    <t>$-o.501</t>
  </si>
  <si>
    <t>$-o.553</t>
  </si>
  <si>
    <t>Net Current Debt</t>
  </si>
  <si>
    <t>Debt Issuance/Retirement Net - Total</t>
  </si>
  <si>
    <t>Net Common Equity Issued/Repurchased</t>
  </si>
  <si>
    <t>Net Total Equity Issued/Repurchased</t>
  </si>
  <si>
    <t>Total Common And Preferred Stock Dividends Paid</t>
  </si>
  <si>
    <t>Financial Activities - Other</t>
  </si>
  <si>
    <t>Cash Flow From Financial Activities</t>
  </si>
  <si>
    <t>$.30.472</t>
  </si>
  <si>
    <t>Net Cash Flow</t>
  </si>
  <si>
    <t>$109.407 11</t>
  </si>
  <si>
    <t>Stock-Based Compensation</t>
  </si>
  <si>
    <t>Common Stock Dividends Paid</t>
  </si>
  <si>
    <t>Other Non-Cash Items</t>
  </si>
  <si>
    <t>Total Non-Cash Items</t>
  </si>
  <si>
    <t>--</t>
  </si>
  <si>
    <t>Cash On Hand</t>
  </si>
  <si>
    <t>Receivables</t>
  </si>
  <si>
    <t>Inventory</t>
  </si>
  <si>
    <t>Pre-Paid Expenses</t>
  </si>
  <si>
    <t>Other Current Assets</t>
  </si>
  <si>
    <t>Total Current Assets</t>
  </si>
  <si>
    <t>Property, Plant, And Equipment</t>
  </si>
  <si>
    <t>Long-Term Investments</t>
  </si>
  <si>
    <t>Goodwill And Intangible Assets</t>
  </si>
  <si>
    <t>Other Long-Term Assets</t>
  </si>
  <si>
    <t>Total Long-Term Assets</t>
  </si>
  <si>
    <t>Total Assets</t>
  </si>
  <si>
    <t>Total Current Liabilities</t>
  </si>
  <si>
    <t>Long Term Debt</t>
  </si>
  <si>
    <t>Other Non-Current Liabilities</t>
  </si>
  <si>
    <t>Total Long Term Liabilities</t>
  </si>
  <si>
    <t>Total Liabilities</t>
  </si>
  <si>
    <t>Common Stock Net</t>
  </si>
  <si>
    <t>Retained Earnings (Accumulated Deficit)</t>
  </si>
  <si>
    <t>Comprehensive Income Other Share Holders Equity</t>
  </si>
  <si>
    <t>Share Holder Equity</t>
  </si>
  <si>
    <t>Total Liabilities And Share Holders Equity</t>
  </si>
  <si>
    <t>WACC =  (% Equity x Cost of Equity) + (% Debt x Cost of Debt x (1 -Tax rate))</t>
  </si>
  <si>
    <t>Cost of Equity = Risk Free Rate + (Beta x (Expected Market Return - Risk Free Rate))</t>
  </si>
  <si>
    <t>Debt</t>
  </si>
  <si>
    <t>% Debt</t>
  </si>
  <si>
    <t>Cost of Debt</t>
  </si>
  <si>
    <t>Tax Rate</t>
  </si>
  <si>
    <t>Equity Value</t>
  </si>
  <si>
    <t>% Equity</t>
  </si>
  <si>
    <t>Cost of Equity</t>
  </si>
  <si>
    <t>Risk Free Rate</t>
  </si>
  <si>
    <t>Beta</t>
  </si>
  <si>
    <t>Market Risk Premium</t>
  </si>
  <si>
    <t>Debt + Equity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</si>
</sst>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_);[Red]\(&quot;$&quot;#,##0.00\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0.0"/>
    <numFmt numFmtId="167" formatCode="_(* #,##0.000_);_(* \(#,##0.000\);_(* &quot;-&quot;??_);_(@_)"/>
  </numFmts>
  <fonts count="1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i/>
      <sz val="11"/>
      <color theme="1"/>
      <name val="Aptos Narrow"/>
      <family val="2"/>
      <scheme val="minor"/>
    </font>
    <font>
      <i/>
      <sz val="12"/>
      <color theme="1"/>
      <name val="Calibri"/>
      <family val="2"/>
    </font>
    <font>
      <b/>
      <i/>
      <sz val="12"/>
      <color theme="1"/>
      <name val="Calibri"/>
      <family val="2"/>
    </font>
    <font>
      <sz val="11"/>
      <color rgb="FF7030A0"/>
      <name val="Aptos Narrow"/>
      <family val="2"/>
      <scheme val="minor"/>
    </font>
    <font>
      <sz val="11"/>
      <color theme="9" tint="0.39997558519241921"/>
      <name val="Aptos Narrow"/>
      <family val="2"/>
      <scheme val="minor"/>
    </font>
    <font>
      <sz val="11"/>
      <color theme="4" tint="0.39997558519241921"/>
      <name val="Aptos Narrow"/>
      <family val="2"/>
      <scheme val="minor"/>
    </font>
    <font>
      <sz val="11"/>
      <color rgb="FF00B0F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7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1" xfId="0" applyFont="1" applyBorder="1" applyAlignment="1">
      <alignment wrapText="1"/>
    </xf>
    <xf numFmtId="0" fontId="4" fillId="0" borderId="1" xfId="0" applyFont="1" applyBorder="1"/>
    <xf numFmtId="0" fontId="3" fillId="0" borderId="1" xfId="0" applyFont="1" applyBorder="1"/>
    <xf numFmtId="0" fontId="0" fillId="0" borderId="2" xfId="0" applyBorder="1"/>
    <xf numFmtId="0" fontId="0" fillId="2" borderId="3" xfId="0" applyFill="1" applyBorder="1"/>
    <xf numFmtId="1" fontId="0" fillId="2" borderId="3" xfId="0" applyNumberFormat="1" applyFill="1" applyBorder="1"/>
    <xf numFmtId="14" fontId="0" fillId="2" borderId="3" xfId="0" applyNumberFormat="1" applyFill="1" applyBorder="1"/>
    <xf numFmtId="8" fontId="0" fillId="2" borderId="3" xfId="0" applyNumberFormat="1" applyFill="1" applyBorder="1"/>
    <xf numFmtId="0" fontId="2" fillId="3" borderId="4" xfId="0" applyFont="1" applyFill="1" applyBorder="1"/>
    <xf numFmtId="0" fontId="0" fillId="3" borderId="4" xfId="0" applyFill="1" applyBorder="1"/>
    <xf numFmtId="0" fontId="5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6" fillId="4" borderId="0" xfId="0" applyFont="1" applyFill="1" applyAlignment="1">
      <alignment horizontal="center" wrapText="1"/>
    </xf>
    <xf numFmtId="164" fontId="0" fillId="5" borderId="3" xfId="0" applyNumberFormat="1" applyFill="1" applyBorder="1" applyAlignment="1">
      <alignment horizontal="center"/>
    </xf>
    <xf numFmtId="10" fontId="0" fillId="5" borderId="3" xfId="0" applyNumberFormat="1" applyFill="1" applyBorder="1" applyAlignment="1">
      <alignment horizontal="center"/>
    </xf>
    <xf numFmtId="10" fontId="6" fillId="4" borderId="0" xfId="0" applyNumberFormat="1" applyFont="1" applyFill="1" applyAlignment="1">
      <alignment wrapText="1"/>
    </xf>
    <xf numFmtId="9" fontId="7" fillId="0" borderId="0" xfId="0" applyNumberFormat="1" applyFont="1"/>
    <xf numFmtId="165" fontId="0" fillId="0" borderId="0" xfId="1" applyNumberFormat="1" applyFont="1" applyBorder="1"/>
    <xf numFmtId="9" fontId="0" fillId="0" borderId="0" xfId="0" applyNumberFormat="1"/>
    <xf numFmtId="165" fontId="1" fillId="0" borderId="0" xfId="1" applyNumberFormat="1" applyFont="1" applyBorder="1"/>
    <xf numFmtId="165" fontId="10" fillId="0" borderId="0" xfId="1" applyNumberFormat="1" applyFont="1" applyBorder="1"/>
    <xf numFmtId="0" fontId="3" fillId="0" borderId="5" xfId="0" applyFont="1" applyBorder="1"/>
    <xf numFmtId="8" fontId="0" fillId="0" borderId="0" xfId="0" applyNumberFormat="1"/>
    <xf numFmtId="0" fontId="0" fillId="6" borderId="0" xfId="0" applyFill="1"/>
    <xf numFmtId="14" fontId="0" fillId="6" borderId="0" xfId="0" applyNumberFormat="1" applyFill="1"/>
    <xf numFmtId="1" fontId="0" fillId="0" borderId="0" xfId="0" applyNumberFormat="1"/>
    <xf numFmtId="10" fontId="0" fillId="0" borderId="0" xfId="0" applyNumberFormat="1"/>
    <xf numFmtId="10" fontId="9" fillId="0" borderId="0" xfId="0" applyNumberFormat="1" applyFont="1" applyAlignment="1">
      <alignment wrapText="1"/>
    </xf>
    <xf numFmtId="10" fontId="6" fillId="0" borderId="0" xfId="0" applyNumberFormat="1" applyFont="1" applyAlignment="1">
      <alignment wrapText="1"/>
    </xf>
    <xf numFmtId="0" fontId="3" fillId="0" borderId="7" xfId="0" applyFont="1" applyBorder="1"/>
    <xf numFmtId="0" fontId="0" fillId="0" borderId="6" xfId="0" applyBorder="1"/>
    <xf numFmtId="0" fontId="0" fillId="3" borderId="8" xfId="0" applyFill="1" applyBorder="1"/>
    <xf numFmtId="0" fontId="6" fillId="0" borderId="6" xfId="0" applyFont="1" applyBorder="1" applyAlignment="1">
      <alignment wrapText="1"/>
    </xf>
    <xf numFmtId="0" fontId="2" fillId="3" borderId="8" xfId="0" applyFont="1" applyFill="1" applyBorder="1"/>
    <xf numFmtId="10" fontId="0" fillId="0" borderId="6" xfId="0" applyNumberFormat="1" applyBorder="1"/>
    <xf numFmtId="165" fontId="0" fillId="0" borderId="0" xfId="1" applyNumberFormat="1" applyFont="1"/>
    <xf numFmtId="165" fontId="11" fillId="0" borderId="0" xfId="1" applyNumberFormat="1" applyFont="1"/>
    <xf numFmtId="165" fontId="12" fillId="0" borderId="0" xfId="1" applyNumberFormat="1" applyFont="1"/>
    <xf numFmtId="9" fontId="0" fillId="0" borderId="0" xfId="1" applyNumberFormat="1" applyFont="1"/>
    <xf numFmtId="9" fontId="8" fillId="0" borderId="0" xfId="0" applyNumberFormat="1" applyFont="1" applyAlignment="1">
      <alignment wrapText="1"/>
    </xf>
    <xf numFmtId="9" fontId="0" fillId="0" borderId="6" xfId="0" applyNumberFormat="1" applyBorder="1"/>
    <xf numFmtId="9" fontId="0" fillId="0" borderId="0" xfId="0" quotePrefix="1" applyNumberFormat="1"/>
    <xf numFmtId="165" fontId="10" fillId="0" borderId="0" xfId="0" applyNumberFormat="1" applyFont="1"/>
    <xf numFmtId="165" fontId="13" fillId="0" borderId="0" xfId="1" applyNumberFormat="1" applyFont="1"/>
    <xf numFmtId="165" fontId="11" fillId="0" borderId="6" xfId="1" applyNumberFormat="1" applyFont="1" applyBorder="1"/>
    <xf numFmtId="9" fontId="6" fillId="4" borderId="9" xfId="0" applyNumberFormat="1" applyFont="1" applyFill="1" applyBorder="1" applyAlignment="1">
      <alignment horizontal="center" wrapText="1"/>
    </xf>
    <xf numFmtId="9" fontId="6" fillId="4" borderId="10" xfId="0" applyNumberFormat="1" applyFont="1" applyFill="1" applyBorder="1" applyAlignment="1">
      <alignment horizontal="center" wrapText="1"/>
    </xf>
    <xf numFmtId="9" fontId="10" fillId="4" borderId="3" xfId="0" applyNumberFormat="1" applyFont="1" applyFill="1" applyBorder="1" applyAlignment="1">
      <alignment horizontal="center" wrapText="1"/>
    </xf>
    <xf numFmtId="9" fontId="6" fillId="4" borderId="11" xfId="0" applyNumberFormat="1" applyFont="1" applyFill="1" applyBorder="1" applyAlignment="1">
      <alignment horizontal="center" wrapText="1"/>
    </xf>
    <xf numFmtId="2" fontId="0" fillId="5" borderId="3" xfId="0" applyNumberFormat="1" applyFill="1" applyBorder="1" applyAlignment="1">
      <alignment horizontal="center"/>
    </xf>
    <xf numFmtId="0" fontId="0" fillId="0" borderId="1" xfId="0" applyBorder="1"/>
    <xf numFmtId="0" fontId="0" fillId="0" borderId="7" xfId="0" applyBorder="1"/>
    <xf numFmtId="165" fontId="3" fillId="0" borderId="13" xfId="1" applyNumberFormat="1" applyFont="1" applyBorder="1"/>
    <xf numFmtId="0" fontId="0" fillId="0" borderId="4" xfId="0" applyBorder="1"/>
    <xf numFmtId="0" fontId="0" fillId="0" borderId="8" xfId="0" applyBorder="1"/>
    <xf numFmtId="165" fontId="6" fillId="0" borderId="0" xfId="1" applyNumberFormat="1" applyFont="1" applyAlignment="1">
      <alignment wrapText="1"/>
    </xf>
    <xf numFmtId="165" fontId="10" fillId="0" borderId="0" xfId="1" applyNumberFormat="1" applyFont="1"/>
    <xf numFmtId="165" fontId="0" fillId="0" borderId="0" xfId="0" applyNumberFormat="1"/>
    <xf numFmtId="43" fontId="0" fillId="0" borderId="0" xfId="0" applyNumberFormat="1"/>
    <xf numFmtId="43" fontId="0" fillId="0" borderId="4" xfId="0" applyNumberFormat="1" applyBorder="1"/>
    <xf numFmtId="0" fontId="3" fillId="0" borderId="13" xfId="0" applyFont="1" applyBorder="1"/>
    <xf numFmtId="165" fontId="10" fillId="0" borderId="6" xfId="0" applyNumberFormat="1" applyFont="1" applyBorder="1"/>
    <xf numFmtId="9" fontId="0" fillId="0" borderId="6" xfId="1" applyNumberFormat="1" applyFont="1" applyBorder="1"/>
    <xf numFmtId="0" fontId="14" fillId="0" borderId="1" xfId="0" applyFont="1" applyBorder="1"/>
    <xf numFmtId="1" fontId="0" fillId="0" borderId="1" xfId="0" applyNumberFormat="1" applyBorder="1"/>
    <xf numFmtId="0" fontId="2" fillId="7" borderId="0" xfId="0" applyFont="1" applyFill="1"/>
    <xf numFmtId="0" fontId="0" fillId="7" borderId="0" xfId="0" applyFill="1"/>
    <xf numFmtId="1" fontId="0" fillId="7" borderId="0" xfId="0" applyNumberFormat="1" applyFill="1"/>
    <xf numFmtId="1" fontId="0" fillId="5" borderId="14" xfId="0" applyNumberFormat="1" applyFill="1" applyBorder="1" applyAlignment="1">
      <alignment horizontal="right"/>
    </xf>
    <xf numFmtId="9" fontId="0" fillId="5" borderId="14" xfId="0" applyNumberFormat="1" applyFill="1" applyBorder="1" applyAlignment="1">
      <alignment horizontal="right"/>
    </xf>
    <xf numFmtId="9" fontId="0" fillId="5" borderId="14" xfId="1" applyNumberFormat="1" applyFont="1" applyFill="1" applyBorder="1" applyAlignment="1">
      <alignment horizontal="right"/>
    </xf>
    <xf numFmtId="166" fontId="0" fillId="5" borderId="14" xfId="0" applyNumberFormat="1" applyFill="1" applyBorder="1" applyAlignment="1">
      <alignment horizontal="right"/>
    </xf>
    <xf numFmtId="2" fontId="0" fillId="5" borderId="14" xfId="0" applyNumberFormat="1" applyFill="1" applyBorder="1" applyAlignment="1">
      <alignment horizontal="right"/>
    </xf>
    <xf numFmtId="0" fontId="3" fillId="8" borderId="13" xfId="0" applyFont="1" applyFill="1" applyBorder="1"/>
    <xf numFmtId="0" fontId="0" fillId="8" borderId="4" xfId="0" applyFill="1" applyBorder="1"/>
    <xf numFmtId="2" fontId="3" fillId="8" borderId="8" xfId="0" applyNumberFormat="1" applyFont="1" applyFill="1" applyBorder="1"/>
    <xf numFmtId="0" fontId="15" fillId="0" borderId="0" xfId="0" applyFont="1"/>
    <xf numFmtId="2" fontId="6" fillId="4" borderId="0" xfId="0" applyNumberFormat="1" applyFont="1" applyFill="1" applyAlignment="1">
      <alignment wrapText="1"/>
    </xf>
    <xf numFmtId="0" fontId="3" fillId="0" borderId="15" xfId="0" applyFont="1" applyBorder="1"/>
    <xf numFmtId="0" fontId="0" fillId="0" borderId="16" xfId="0" applyBorder="1"/>
    <xf numFmtId="0" fontId="0" fillId="0" borderId="17" xfId="0" applyBorder="1"/>
    <xf numFmtId="0" fontId="3" fillId="0" borderId="12" xfId="0" applyFont="1" applyBorder="1"/>
    <xf numFmtId="43" fontId="0" fillId="0" borderId="17" xfId="0" applyNumberFormat="1" applyBorder="1"/>
    <xf numFmtId="167" fontId="0" fillId="0" borderId="7" xfId="0" applyNumberForma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FA5A4-0833-48B5-B297-FE6F6234E180}">
  <dimension ref="A2:S1048576"/>
  <sheetViews>
    <sheetView showGridLines="0" tabSelected="1" topLeftCell="A12" zoomScale="65" zoomScaleNormal="80" workbookViewId="0">
      <selection activeCell="B27" sqref="B27"/>
    </sheetView>
  </sheetViews>
  <sheetFormatPr defaultRowHeight="14.75" x14ac:dyDescent="0.75"/>
  <cols>
    <col min="1" max="1" width="3.90625" customWidth="1"/>
    <col min="2" max="2" width="21.90625" customWidth="1"/>
    <col min="3" max="3" width="9.31640625" bestFit="1" customWidth="1"/>
    <col min="4" max="4" width="8.7265625" customWidth="1"/>
    <col min="5" max="5" width="12.81640625" bestFit="1" customWidth="1"/>
    <col min="7" max="7" width="13.7265625" customWidth="1"/>
    <col min="8" max="8" width="8.2265625" bestFit="1" customWidth="1"/>
    <col min="9" max="10" width="8" bestFit="1" customWidth="1"/>
    <col min="11" max="11" width="15" bestFit="1" customWidth="1"/>
    <col min="14" max="14" width="8.7265625" style="33"/>
    <col min="15" max="15" width="13.76953125" bestFit="1" customWidth="1"/>
    <col min="16" max="16" width="8.453125" bestFit="1" customWidth="1"/>
    <col min="17" max="18" width="10.6328125" bestFit="1" customWidth="1"/>
    <col min="19" max="19" width="10.04296875" bestFit="1" customWidth="1"/>
  </cols>
  <sheetData>
    <row r="2" spans="1:19" s="5" customFormat="1" x14ac:dyDescent="0.75">
      <c r="A2" s="3"/>
      <c r="B2" s="4" t="s">
        <v>0</v>
      </c>
      <c r="N2" s="32"/>
    </row>
    <row r="3" spans="1:19" x14ac:dyDescent="0.75">
      <c r="A3" s="6"/>
    </row>
    <row r="4" spans="1:19" x14ac:dyDescent="0.75">
      <c r="A4" s="6"/>
      <c r="B4" t="s">
        <v>1</v>
      </c>
      <c r="C4" s="7" t="s">
        <v>46</v>
      </c>
      <c r="E4" t="s">
        <v>2</v>
      </c>
      <c r="G4" s="8">
        <f ca="1">S80</f>
        <v>8.2851952295863676</v>
      </c>
    </row>
    <row r="5" spans="1:19" x14ac:dyDescent="0.75">
      <c r="A5" s="6"/>
      <c r="B5" t="s">
        <v>3</v>
      </c>
      <c r="C5" s="9">
        <v>45422</v>
      </c>
      <c r="E5" t="s">
        <v>4</v>
      </c>
      <c r="G5" s="10">
        <v>15.75</v>
      </c>
    </row>
    <row r="6" spans="1:19" x14ac:dyDescent="0.75">
      <c r="A6" s="6"/>
    </row>
    <row r="7" spans="1:19" x14ac:dyDescent="0.75">
      <c r="A7" s="6" t="s">
        <v>5</v>
      </c>
      <c r="B7" s="11" t="s">
        <v>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34"/>
      <c r="O7" s="12"/>
      <c r="P7" s="12"/>
      <c r="Q7" s="12"/>
      <c r="R7" s="12"/>
      <c r="S7" s="12"/>
    </row>
    <row r="8" spans="1:19" ht="16" x14ac:dyDescent="0.8">
      <c r="A8" s="6"/>
      <c r="B8" s="13" t="s">
        <v>7</v>
      </c>
      <c r="C8" s="14"/>
      <c r="D8" s="14"/>
      <c r="E8" s="14"/>
      <c r="G8" s="2" t="s">
        <v>8</v>
      </c>
      <c r="K8" s="2" t="s">
        <v>9</v>
      </c>
      <c r="O8" s="2" t="s">
        <v>10</v>
      </c>
    </row>
    <row r="9" spans="1:19" ht="16" x14ac:dyDescent="0.8">
      <c r="A9" s="6"/>
      <c r="B9" s="14" t="s">
        <v>11</v>
      </c>
      <c r="C9" s="14"/>
      <c r="D9" s="15">
        <v>2</v>
      </c>
      <c r="E9" s="14"/>
    </row>
    <row r="10" spans="1:19" ht="16" x14ac:dyDescent="0.8">
      <c r="A10" s="6"/>
      <c r="B10" s="14" t="s">
        <v>12</v>
      </c>
      <c r="C10" s="14"/>
      <c r="D10" s="15">
        <v>2</v>
      </c>
      <c r="E10" s="14"/>
      <c r="O10" t="s">
        <v>14</v>
      </c>
      <c r="Q10" s="52">
        <f>M11+0.1</f>
        <v>6.0131730578707554</v>
      </c>
    </row>
    <row r="11" spans="1:19" ht="16" x14ac:dyDescent="0.8">
      <c r="A11" s="6"/>
      <c r="B11" s="14"/>
      <c r="C11" s="14"/>
      <c r="D11" s="14"/>
      <c r="E11" s="14"/>
      <c r="G11" t="s">
        <v>14</v>
      </c>
      <c r="I11" s="52">
        <f>M11+0.05</f>
        <v>5.9631730578707556</v>
      </c>
      <c r="K11" t="s">
        <v>14</v>
      </c>
      <c r="M11" s="52">
        <f>WACC!C21</f>
        <v>5.9131730578707558</v>
      </c>
      <c r="O11" t="s">
        <v>15</v>
      </c>
      <c r="Q11" s="17">
        <v>0.03</v>
      </c>
    </row>
    <row r="12" spans="1:19" ht="16" x14ac:dyDescent="0.8">
      <c r="A12" s="6"/>
      <c r="B12" s="14" t="s">
        <v>14</v>
      </c>
      <c r="C12" s="14"/>
      <c r="D12" s="15">
        <v>2</v>
      </c>
      <c r="E12" s="14"/>
      <c r="G12" t="s">
        <v>15</v>
      </c>
      <c r="I12" s="16">
        <v>0.02</v>
      </c>
      <c r="K12" t="s">
        <v>15</v>
      </c>
      <c r="M12" s="16">
        <v>2.5000000000000001E-2</v>
      </c>
    </row>
    <row r="13" spans="1:19" ht="16" x14ac:dyDescent="0.8">
      <c r="A13" s="6"/>
      <c r="B13" s="14" t="s">
        <v>15</v>
      </c>
      <c r="C13" s="14"/>
      <c r="D13" s="15">
        <v>2</v>
      </c>
      <c r="E13" s="14"/>
    </row>
    <row r="14" spans="1:19" ht="16" x14ac:dyDescent="0.8">
      <c r="A14" s="6"/>
      <c r="B14" s="14"/>
      <c r="C14" s="14"/>
      <c r="D14" s="14"/>
      <c r="E14" s="14"/>
    </row>
    <row r="15" spans="1:19" ht="32" x14ac:dyDescent="0.8">
      <c r="A15" s="6"/>
      <c r="B15" s="13" t="s">
        <v>17</v>
      </c>
      <c r="C15" s="14"/>
      <c r="D15" s="14"/>
      <c r="E15" s="14"/>
    </row>
    <row r="16" spans="1:19" ht="16" x14ac:dyDescent="0.8">
      <c r="A16" s="6"/>
      <c r="B16" s="14" t="s">
        <v>14</v>
      </c>
      <c r="C16" s="14"/>
      <c r="D16" s="80">
        <f>CHOOSE($D$12,I11,M11,Q10)</f>
        <v>5.9131730578707558</v>
      </c>
      <c r="E16" s="14"/>
      <c r="F16" s="14"/>
      <c r="G16" s="14"/>
      <c r="H16" s="14"/>
      <c r="I16" s="14"/>
      <c r="J16" s="14"/>
      <c r="K16" s="14"/>
      <c r="L16" s="14"/>
      <c r="M16" s="14"/>
      <c r="N16" s="35"/>
      <c r="O16" s="14"/>
    </row>
    <row r="17" spans="1:19" ht="16" x14ac:dyDescent="0.8">
      <c r="A17" s="6"/>
      <c r="B17" s="14" t="s">
        <v>15</v>
      </c>
      <c r="C17" s="14"/>
      <c r="D17" s="18">
        <f>CHOOSE(D13,I12,M12,Q11)</f>
        <v>2.5000000000000001E-2</v>
      </c>
      <c r="E17" s="14"/>
      <c r="F17" s="14"/>
      <c r="G17" s="14"/>
      <c r="H17" s="14"/>
      <c r="I17" s="14"/>
      <c r="J17" s="14"/>
      <c r="K17" s="14"/>
      <c r="L17" s="14"/>
      <c r="M17" s="14"/>
      <c r="N17" s="35"/>
      <c r="O17" s="14"/>
    </row>
    <row r="19" spans="1:19" x14ac:dyDescent="0.75">
      <c r="A19" t="s">
        <v>5</v>
      </c>
      <c r="B19" s="11" t="s">
        <v>23</v>
      </c>
      <c r="C19" s="11"/>
      <c r="D19" s="11">
        <v>2013</v>
      </c>
      <c r="E19" s="11">
        <f>D19+1</f>
        <v>2014</v>
      </c>
      <c r="F19" s="11">
        <f t="shared" ref="F19:S19" si="0">E19+1</f>
        <v>2015</v>
      </c>
      <c r="G19" s="11">
        <f t="shared" si="0"/>
        <v>2016</v>
      </c>
      <c r="H19" s="11">
        <f t="shared" si="0"/>
        <v>2017</v>
      </c>
      <c r="I19" s="11">
        <f t="shared" si="0"/>
        <v>2018</v>
      </c>
      <c r="J19" s="11">
        <f t="shared" si="0"/>
        <v>2019</v>
      </c>
      <c r="K19" s="11">
        <f t="shared" si="0"/>
        <v>2020</v>
      </c>
      <c r="L19" s="11">
        <f t="shared" si="0"/>
        <v>2021</v>
      </c>
      <c r="M19" s="11">
        <f t="shared" si="0"/>
        <v>2022</v>
      </c>
      <c r="N19" s="36">
        <f t="shared" si="0"/>
        <v>2023</v>
      </c>
      <c r="O19" s="11">
        <f t="shared" si="0"/>
        <v>2024</v>
      </c>
      <c r="P19" s="11">
        <f t="shared" si="0"/>
        <v>2025</v>
      </c>
      <c r="Q19" s="11">
        <f t="shared" si="0"/>
        <v>2026</v>
      </c>
      <c r="R19" s="11">
        <f t="shared" si="0"/>
        <v>2027</v>
      </c>
      <c r="S19" s="11">
        <f t="shared" si="0"/>
        <v>2028</v>
      </c>
    </row>
    <row r="20" spans="1:19" s="38" customFormat="1" x14ac:dyDescent="0.75">
      <c r="B20" s="22" t="s">
        <v>19</v>
      </c>
      <c r="D20" s="39">
        <f>Historicals!B3</f>
        <v>569.87</v>
      </c>
      <c r="E20" s="39">
        <f>Historicals!C3</f>
        <v>704.54</v>
      </c>
      <c r="F20" s="39">
        <f>Historicals!D3</f>
        <v>622.678</v>
      </c>
      <c r="G20" s="39">
        <f>Historicals!E3</f>
        <v>767.71</v>
      </c>
      <c r="H20" s="39">
        <f>Historicals!F3</f>
        <v>737.08299999999997</v>
      </c>
      <c r="I20" s="39">
        <f>Historicals!G3</f>
        <v>794.76</v>
      </c>
      <c r="J20" s="39">
        <f>Historicals!H3</f>
        <v>811.55899999999997</v>
      </c>
      <c r="K20" s="39">
        <f>Historicals!I3</f>
        <v>641.79899999999998</v>
      </c>
      <c r="L20" s="39">
        <f>Historicals!J3</f>
        <v>665.03200000000004</v>
      </c>
      <c r="M20" s="39">
        <f>Historicals!K3</f>
        <v>776.29899999999998</v>
      </c>
      <c r="N20" s="47">
        <f>Historicals!L3</f>
        <v>781.06399999999996</v>
      </c>
      <c r="O20" s="40">
        <v>814.2</v>
      </c>
      <c r="P20" s="40">
        <v>897.54</v>
      </c>
      <c r="Q20" s="40">
        <f>P20*(1+Q21)</f>
        <v>942.69237190253523</v>
      </c>
      <c r="R20" s="40">
        <f t="shared" ref="R20:S20" si="1">Q20*(1+R21)</f>
        <v>1003.9953836861312</v>
      </c>
      <c r="S20" s="40">
        <f t="shared" si="1"/>
        <v>1076.850195112208</v>
      </c>
    </row>
    <row r="21" spans="1:19" s="21" customFormat="1" x14ac:dyDescent="0.75">
      <c r="B21" s="19" t="s">
        <v>20</v>
      </c>
      <c r="D21" s="44" t="s">
        <v>106</v>
      </c>
      <c r="E21" s="21">
        <f>(E20-D20)/D20</f>
        <v>0.23631705476687659</v>
      </c>
      <c r="F21" s="21">
        <f t="shared" ref="F21:N21" si="2">(F20-E20)/E20</f>
        <v>-0.11619212535838983</v>
      </c>
      <c r="G21" s="21">
        <f t="shared" si="2"/>
        <v>0.23291653149782077</v>
      </c>
      <c r="H21" s="21">
        <f t="shared" si="2"/>
        <v>-3.9893970379440237E-2</v>
      </c>
      <c r="I21" s="21">
        <f t="shared" si="2"/>
        <v>7.8250346297499773E-2</v>
      </c>
      <c r="J21" s="21">
        <f t="shared" si="2"/>
        <v>2.1137198651165104E-2</v>
      </c>
      <c r="K21" s="21">
        <f t="shared" si="2"/>
        <v>-0.209177644508902</v>
      </c>
      <c r="L21" s="21">
        <f t="shared" si="2"/>
        <v>3.619980710471668E-2</v>
      </c>
      <c r="M21" s="21">
        <f t="shared" si="2"/>
        <v>0.167310745949067</v>
      </c>
      <c r="N21" s="21">
        <f t="shared" si="2"/>
        <v>6.1380988510869993E-3</v>
      </c>
      <c r="O21" s="21">
        <f t="shared" ref="O21" si="3">(O20-N20)/N20</f>
        <v>4.242418034885756E-2</v>
      </c>
      <c r="P21" s="21">
        <f t="shared" ref="P21" si="4">(P20-O20)/O20</f>
        <v>0.10235814296241699</v>
      </c>
      <c r="Q21" s="21">
        <f>AVERAGE(N21:P21)</f>
        <v>5.0306807387453856E-2</v>
      </c>
      <c r="R21" s="21">
        <f t="shared" ref="R21:S21" si="5">AVERAGE(O21:Q21)</f>
        <v>6.5029710232909474E-2</v>
      </c>
      <c r="S21" s="21">
        <f t="shared" si="5"/>
        <v>7.2564886860926769E-2</v>
      </c>
    </row>
    <row r="23" spans="1:19" s="38" customFormat="1" x14ac:dyDescent="0.75">
      <c r="B23" s="20" t="s">
        <v>13</v>
      </c>
      <c r="D23" s="39">
        <f>Historicals!B8</f>
        <v>82.93</v>
      </c>
      <c r="E23" s="39">
        <f>Historicals!C8</f>
        <v>99.1</v>
      </c>
      <c r="F23" s="39">
        <f>Historicals!D8</f>
        <v>49.875999999999998</v>
      </c>
      <c r="G23" s="39">
        <f>Historicals!E8</f>
        <v>102.566</v>
      </c>
      <c r="H23" s="39">
        <f>Historicals!F8</f>
        <v>102.49</v>
      </c>
      <c r="I23" s="39">
        <f>Historicals!G8</f>
        <v>59.45</v>
      </c>
      <c r="J23" s="39">
        <f>Historicals!H8</f>
        <v>64.686000000000007</v>
      </c>
      <c r="K23" s="39">
        <f>Historicals!I8</f>
        <v>6.5830000000000002</v>
      </c>
      <c r="L23" s="39">
        <f>Historicals!J8</f>
        <v>-49.698999999999998</v>
      </c>
      <c r="M23" s="39">
        <f>Historicals!K8</f>
        <v>-116.31699999999999</v>
      </c>
      <c r="N23" s="47">
        <f>Historicals!L8</f>
        <v>-13.467000000000001</v>
      </c>
      <c r="O23" s="40">
        <f>AVERAGE(G23:J23)</f>
        <v>82.298000000000002</v>
      </c>
      <c r="P23" s="40">
        <f>O23+($S$23-O23)/(R19-O19)</f>
        <v>88.531999999999996</v>
      </c>
      <c r="Q23" s="40">
        <f t="shared" ref="Q23" si="6">P23+($S$23-P23)/(S19-P19)</f>
        <v>92.688000000000002</v>
      </c>
      <c r="R23" s="40">
        <f>AVERAGE(Q23,S23)</f>
        <v>96.843999999999994</v>
      </c>
      <c r="S23" s="40">
        <v>101</v>
      </c>
    </row>
    <row r="24" spans="1:19" s="21" customFormat="1" x14ac:dyDescent="0.75">
      <c r="B24" s="19" t="s">
        <v>21</v>
      </c>
      <c r="D24" s="21">
        <f>D23/D20</f>
        <v>0.14552441784968503</v>
      </c>
      <c r="E24" s="21">
        <f t="shared" ref="E24:N24" si="7">E23/E20</f>
        <v>0.14065915349022057</v>
      </c>
      <c r="F24" s="21">
        <f t="shared" si="7"/>
        <v>8.0099184490218051E-2</v>
      </c>
      <c r="G24" s="21">
        <f t="shared" si="7"/>
        <v>0.1335999270557893</v>
      </c>
      <c r="H24" s="21">
        <f t="shared" si="7"/>
        <v>0.13904811262775019</v>
      </c>
      <c r="I24" s="21">
        <f t="shared" si="7"/>
        <v>7.4802456087372293E-2</v>
      </c>
      <c r="J24" s="21">
        <f t="shared" si="7"/>
        <v>7.9705850098390887E-2</v>
      </c>
      <c r="K24" s="21">
        <f t="shared" si="7"/>
        <v>1.0257105417739823E-2</v>
      </c>
      <c r="L24" s="21">
        <f t="shared" si="7"/>
        <v>-7.4731742231952739E-2</v>
      </c>
      <c r="M24" s="21">
        <f t="shared" si="7"/>
        <v>-0.14983530830259989</v>
      </c>
      <c r="N24" s="43">
        <f t="shared" si="7"/>
        <v>-1.7241864943205679E-2</v>
      </c>
      <c r="O24" s="21">
        <f>O23/O20</f>
        <v>0.10107835912552199</v>
      </c>
      <c r="P24" s="21">
        <f t="shared" ref="P24:S24" si="8">P23/P20</f>
        <v>9.863850079105109E-2</v>
      </c>
      <c r="Q24" s="21">
        <f t="shared" si="8"/>
        <v>9.8322637121734335E-2</v>
      </c>
      <c r="R24" s="21">
        <f t="shared" si="8"/>
        <v>9.6458610839863526E-2</v>
      </c>
      <c r="S24" s="21">
        <f t="shared" si="8"/>
        <v>9.3792061754212508E-2</v>
      </c>
    </row>
    <row r="26" spans="1:19" s="38" customFormat="1" x14ac:dyDescent="0.75">
      <c r="B26" s="38" t="s">
        <v>16</v>
      </c>
      <c r="D26" s="39">
        <f>Historicals!B11</f>
        <v>-243.54</v>
      </c>
      <c r="E26" s="39">
        <f>Historicals!C11</f>
        <v>27.11</v>
      </c>
      <c r="F26" s="39">
        <f>Historicals!D11</f>
        <v>-1.41</v>
      </c>
      <c r="G26" s="39">
        <f>Historicals!E11</f>
        <v>18.565000000000001</v>
      </c>
      <c r="H26" s="39">
        <f>Historicals!F11</f>
        <v>22.016999999999999</v>
      </c>
      <c r="I26" s="39">
        <f>Historicals!G11</f>
        <v>85.355000000000004</v>
      </c>
      <c r="J26" s="39">
        <f>Historicals!H11</f>
        <v>11.122999999999999</v>
      </c>
      <c r="K26" s="39">
        <f>Historicals!I11</f>
        <v>3.0449999999999999</v>
      </c>
      <c r="L26" s="39">
        <f>Historicals!J11</f>
        <v>91.775999999999996</v>
      </c>
      <c r="M26" s="39">
        <f>Historicals!K11</f>
        <v>-45.408000000000001</v>
      </c>
      <c r="N26" s="39">
        <f>Historicals!L11</f>
        <v>-4.6929999999999996</v>
      </c>
      <c r="O26" s="40">
        <f>O27*O23</f>
        <v>28.679328283953367</v>
      </c>
      <c r="P26" s="40">
        <f t="shared" ref="P26:S26" si="9">P27*P23</f>
        <v>30.851761788074548</v>
      </c>
      <c r="Q26" s="40">
        <f t="shared" si="9"/>
        <v>32.300050790822006</v>
      </c>
      <c r="R26" s="40">
        <f t="shared" si="9"/>
        <v>33.748339793569464</v>
      </c>
      <c r="S26" s="40">
        <f t="shared" si="9"/>
        <v>35.196628796316922</v>
      </c>
    </row>
    <row r="27" spans="1:19" s="41" customFormat="1" x14ac:dyDescent="0.75">
      <c r="B27" s="41" t="s">
        <v>22</v>
      </c>
      <c r="D27" s="41">
        <f>D26/D23</f>
        <v>-2.9366935970095258</v>
      </c>
      <c r="E27" s="41">
        <f t="shared" ref="E27:N27" si="10">E26/E23</f>
        <v>0.2735620585267407</v>
      </c>
      <c r="F27" s="41">
        <f t="shared" si="10"/>
        <v>-2.827010987248376E-2</v>
      </c>
      <c r="G27" s="41">
        <f t="shared" si="10"/>
        <v>0.1810054014000741</v>
      </c>
      <c r="H27" s="41">
        <f t="shared" si="10"/>
        <v>0.2148209581422578</v>
      </c>
      <c r="I27" s="41">
        <f t="shared" si="10"/>
        <v>1.4357443229604709</v>
      </c>
      <c r="J27" s="41">
        <f t="shared" si="10"/>
        <v>0.17195374578734191</v>
      </c>
      <c r="K27" s="41">
        <f t="shared" si="10"/>
        <v>0.46255506607929514</v>
      </c>
      <c r="L27" s="41">
        <f t="shared" si="10"/>
        <v>-1.8466367532545926</v>
      </c>
      <c r="M27" s="41">
        <f t="shared" si="10"/>
        <v>0.3903814575685412</v>
      </c>
      <c r="N27" s="41">
        <f t="shared" si="10"/>
        <v>0.34848147323086059</v>
      </c>
      <c r="O27" s="41">
        <f>N27</f>
        <v>0.34848147323086059</v>
      </c>
      <c r="P27" s="41">
        <f t="shared" ref="P27:S27" si="11">O27</f>
        <v>0.34848147323086059</v>
      </c>
      <c r="Q27" s="41">
        <f t="shared" si="11"/>
        <v>0.34848147323086059</v>
      </c>
      <c r="R27" s="41">
        <f t="shared" si="11"/>
        <v>0.34848147323086059</v>
      </c>
      <c r="S27" s="41">
        <f t="shared" si="11"/>
        <v>0.34848147323086059</v>
      </c>
    </row>
    <row r="29" spans="1:19" x14ac:dyDescent="0.75">
      <c r="A29" t="s">
        <v>5</v>
      </c>
      <c r="B29" s="11" t="s">
        <v>24</v>
      </c>
      <c r="C29" s="11"/>
      <c r="D29" s="11">
        <f>D19</f>
        <v>2013</v>
      </c>
      <c r="E29" s="11">
        <f t="shared" ref="E29:S29" si="12">E19</f>
        <v>2014</v>
      </c>
      <c r="F29" s="11">
        <f t="shared" si="12"/>
        <v>2015</v>
      </c>
      <c r="G29" s="11">
        <f t="shared" si="12"/>
        <v>2016</v>
      </c>
      <c r="H29" s="11">
        <f t="shared" si="12"/>
        <v>2017</v>
      </c>
      <c r="I29" s="11">
        <f t="shared" si="12"/>
        <v>2018</v>
      </c>
      <c r="J29" s="11">
        <f t="shared" si="12"/>
        <v>2019</v>
      </c>
      <c r="K29" s="11">
        <f t="shared" si="12"/>
        <v>2020</v>
      </c>
      <c r="L29" s="11">
        <f t="shared" si="12"/>
        <v>2021</v>
      </c>
      <c r="M29" s="11">
        <f t="shared" si="12"/>
        <v>2022</v>
      </c>
      <c r="N29" s="36">
        <f t="shared" si="12"/>
        <v>2023</v>
      </c>
      <c r="O29" s="11">
        <f t="shared" si="12"/>
        <v>2024</v>
      </c>
      <c r="P29" s="11">
        <f t="shared" si="12"/>
        <v>2025</v>
      </c>
      <c r="Q29" s="11">
        <f t="shared" si="12"/>
        <v>2026</v>
      </c>
      <c r="R29" s="11">
        <f t="shared" si="12"/>
        <v>2027</v>
      </c>
      <c r="S29" s="11">
        <f t="shared" si="12"/>
        <v>2028</v>
      </c>
    </row>
    <row r="30" spans="1:19" s="38" customFormat="1" x14ac:dyDescent="0.75">
      <c r="B30" s="20" t="s">
        <v>25</v>
      </c>
      <c r="D30" s="39">
        <f>'Cashflow Statements'!B3</f>
        <v>77.64</v>
      </c>
      <c r="E30" s="39">
        <f>'Cashflow Statements'!C3</f>
        <v>14.09</v>
      </c>
      <c r="F30" s="39">
        <f>'Cashflow Statements'!D3</f>
        <v>136.08000000000001</v>
      </c>
      <c r="G30" s="39">
        <f>'Cashflow Statements'!E3</f>
        <v>160.69999999999999</v>
      </c>
      <c r="H30" s="39">
        <f>'Cashflow Statements'!F3</f>
        <v>156.922</v>
      </c>
      <c r="I30" s="39">
        <f>'Cashflow Statements'!G3</f>
        <v>176.47900000000001</v>
      </c>
      <c r="J30" s="39">
        <f>'Cashflow Statements'!H3</f>
        <v>148.92599999999999</v>
      </c>
      <c r="K30" s="39">
        <f>'Cashflow Statements'!I3</f>
        <v>155.24</v>
      </c>
      <c r="L30" s="39">
        <f>'Cashflow Statements'!J3</f>
        <v>177.62700000000001</v>
      </c>
      <c r="M30" s="39">
        <f>'Cashflow Statements'!K3</f>
        <v>191.46700000000001</v>
      </c>
      <c r="N30" s="39">
        <f>'Cashflow Statements'!L3</f>
        <v>224.697</v>
      </c>
      <c r="O30" s="40">
        <f>O31*O20</f>
        <v>234.22958605184724</v>
      </c>
      <c r="P30" s="40">
        <f t="shared" ref="P30:S30" si="13">P31*P20</f>
        <v>258.20489150697</v>
      </c>
      <c r="Q30" s="40">
        <f t="shared" si="13"/>
        <v>271.19435525050955</v>
      </c>
      <c r="R30" s="40">
        <f t="shared" si="13"/>
        <v>288.83004558925086</v>
      </c>
      <c r="S30" s="40">
        <f t="shared" si="13"/>
        <v>309.78896516947117</v>
      </c>
    </row>
    <row r="31" spans="1:19" s="21" customFormat="1" x14ac:dyDescent="0.75">
      <c r="B31" s="19" t="s">
        <v>26</v>
      </c>
      <c r="D31" s="21">
        <f>D30/D20</f>
        <v>0.13624159896116658</v>
      </c>
      <c r="E31" s="21">
        <f t="shared" ref="E31:N31" si="14">E30/E20</f>
        <v>1.9998864507338121E-2</v>
      </c>
      <c r="F31" s="21">
        <f t="shared" si="14"/>
        <v>0.21853991950895971</v>
      </c>
      <c r="G31" s="21">
        <f t="shared" si="14"/>
        <v>0.2093238332182725</v>
      </c>
      <c r="H31" s="21">
        <f t="shared" si="14"/>
        <v>0.21289596965334975</v>
      </c>
      <c r="I31" s="21">
        <f t="shared" si="14"/>
        <v>0.2220531984498465</v>
      </c>
      <c r="J31" s="21">
        <f t="shared" si="14"/>
        <v>0.18350606671850106</v>
      </c>
      <c r="K31" s="21">
        <f t="shared" si="14"/>
        <v>0.24188258317635275</v>
      </c>
      <c r="L31" s="21">
        <f t="shared" si="14"/>
        <v>0.26709541796484981</v>
      </c>
      <c r="M31" s="21">
        <f t="shared" si="14"/>
        <v>0.24664079175678447</v>
      </c>
      <c r="N31" s="21">
        <f t="shared" si="14"/>
        <v>0.28768065100939233</v>
      </c>
      <c r="O31" s="21">
        <f>IFERROR(N31,P31)</f>
        <v>0.28768065100939233</v>
      </c>
      <c r="P31" s="21">
        <f t="shared" ref="P31:S31" si="15">IFERROR(O31,Q31)</f>
        <v>0.28768065100939233</v>
      </c>
      <c r="Q31" s="21">
        <f t="shared" si="15"/>
        <v>0.28768065100939233</v>
      </c>
      <c r="R31" s="21">
        <f t="shared" si="15"/>
        <v>0.28768065100939233</v>
      </c>
      <c r="S31" s="21">
        <f t="shared" si="15"/>
        <v>0.28768065100939233</v>
      </c>
    </row>
    <row r="33" spans="1:19" s="38" customFormat="1" x14ac:dyDescent="0.75">
      <c r="B33" s="20" t="s">
        <v>27</v>
      </c>
      <c r="D33" s="39">
        <f>'Balance Sheet'!B8</f>
        <v>396.68</v>
      </c>
      <c r="E33" s="39">
        <f>'Balance Sheet'!C8</f>
        <v>414.52</v>
      </c>
      <c r="F33" s="39">
        <f>'Balance Sheet'!D8</f>
        <v>394.90899999999999</v>
      </c>
      <c r="G33" s="39">
        <f>'Balance Sheet'!E8</f>
        <v>366.04</v>
      </c>
      <c r="H33" s="39">
        <f>'Balance Sheet'!F8</f>
        <v>310.37700000000001</v>
      </c>
      <c r="I33" s="39">
        <f>'Balance Sheet'!G8</f>
        <v>330.55500000000001</v>
      </c>
      <c r="J33" s="39">
        <f>'Balance Sheet'!H8</f>
        <v>318.39</v>
      </c>
      <c r="K33" s="39">
        <f>'Balance Sheet'!I8</f>
        <v>320.79700000000003</v>
      </c>
      <c r="L33" s="39">
        <f>'Balance Sheet'!J8</f>
        <v>332.517</v>
      </c>
      <c r="M33" s="39">
        <f>'Balance Sheet'!K8</f>
        <v>323.00599999999997</v>
      </c>
      <c r="N33" s="39">
        <f>'Balance Sheet'!L8</f>
        <v>305.10399999999998</v>
      </c>
      <c r="O33" s="40">
        <f>O34*O20</f>
        <v>367.72374931754365</v>
      </c>
      <c r="P33" s="40">
        <f t="shared" ref="P33:S33" si="16">P34*P20</f>
        <v>394.54742270368439</v>
      </c>
      <c r="Q33" s="40">
        <f t="shared" si="16"/>
        <v>400.15790401217612</v>
      </c>
      <c r="R33" s="40">
        <f t="shared" si="16"/>
        <v>428.28833533365253</v>
      </c>
      <c r="S33" s="40">
        <f t="shared" si="16"/>
        <v>469.04733395745848</v>
      </c>
    </row>
    <row r="34" spans="1:19" s="21" customFormat="1" x14ac:dyDescent="0.75">
      <c r="B34" s="21" t="s">
        <v>21</v>
      </c>
      <c r="D34" s="21">
        <f>D33/D20</f>
        <v>0.69608858160633125</v>
      </c>
      <c r="E34" s="21">
        <f t="shared" ref="E34:N34" si="17">E33/E20</f>
        <v>0.58835552275243419</v>
      </c>
      <c r="F34" s="21">
        <f t="shared" si="17"/>
        <v>0.63421061929279654</v>
      </c>
      <c r="G34" s="21">
        <f t="shared" si="17"/>
        <v>0.47679462296961095</v>
      </c>
      <c r="H34" s="21">
        <f t="shared" si="17"/>
        <v>0.42108826278723022</v>
      </c>
      <c r="I34" s="21">
        <f t="shared" si="17"/>
        <v>0.4159180129850521</v>
      </c>
      <c r="J34" s="21">
        <f t="shared" si="17"/>
        <v>0.39231898112152042</v>
      </c>
      <c r="K34" s="21">
        <f t="shared" si="17"/>
        <v>0.49984029267730246</v>
      </c>
      <c r="L34" s="21">
        <f t="shared" si="17"/>
        <v>0.50000150368704055</v>
      </c>
      <c r="M34" s="21">
        <f t="shared" si="17"/>
        <v>0.41608452413309815</v>
      </c>
      <c r="N34" s="21">
        <f t="shared" si="17"/>
        <v>0.39062612026671312</v>
      </c>
      <c r="O34" s="21">
        <f>AVERAGE(K34:N34)</f>
        <v>0.45163811019103861</v>
      </c>
      <c r="P34" s="21">
        <f t="shared" ref="P34:S34" si="18">AVERAGE(L34:O34)</f>
        <v>0.43958756456947257</v>
      </c>
      <c r="Q34" s="21">
        <f t="shared" si="18"/>
        <v>0.42448407979008063</v>
      </c>
      <c r="R34" s="21">
        <f t="shared" si="18"/>
        <v>0.42658396870432619</v>
      </c>
      <c r="S34" s="21">
        <f t="shared" si="18"/>
        <v>0.43557343081372951</v>
      </c>
    </row>
    <row r="36" spans="1:19" s="38" customFormat="1" x14ac:dyDescent="0.75">
      <c r="B36" s="20" t="s">
        <v>28</v>
      </c>
      <c r="D36" s="39">
        <f>'Cashflow Statements'!B10</f>
        <v>41.86</v>
      </c>
      <c r="E36" s="39">
        <f>'Cashflow Statements'!C10</f>
        <v>57.39</v>
      </c>
      <c r="F36" s="39">
        <f>'Cashflow Statements'!D10</f>
        <v>118.89100000000001</v>
      </c>
      <c r="G36" s="39">
        <f>'Cashflow Statements'!E10</f>
        <v>32.481000000000002</v>
      </c>
      <c r="H36" s="39">
        <f>'Cashflow Statements'!F10</f>
        <v>53.67</v>
      </c>
      <c r="I36" s="39">
        <f>'Cashflow Statements'!G10</f>
        <v>-99.367999999999995</v>
      </c>
      <c r="J36" s="39">
        <f>'Cashflow Statements'!H10</f>
        <v>117.176</v>
      </c>
      <c r="K36" s="39">
        <f>'Cashflow Statements'!I10</f>
        <v>-159.80500000000001</v>
      </c>
      <c r="L36" s="39">
        <f>'Cashflow Statements'!J10</f>
        <v>50.512</v>
      </c>
      <c r="M36" s="39">
        <f>'Cashflow Statements'!K10</f>
        <v>87.415000000000006</v>
      </c>
      <c r="N36" s="39">
        <f>'Cashflow Statements'!L10</f>
        <v>-37.439</v>
      </c>
      <c r="O36" s="46">
        <f>O37*O20</f>
        <v>38.165819329784156</v>
      </c>
      <c r="P36" s="46">
        <f t="shared" ref="P36:S36" si="19">P37*P20</f>
        <v>33.372546165865423</v>
      </c>
      <c r="Q36" s="46">
        <f t="shared" si="19"/>
        <v>11.351318647596131</v>
      </c>
      <c r="R36" s="46">
        <f t="shared" si="19"/>
        <v>32.160936820094442</v>
      </c>
      <c r="S36" s="46">
        <f t="shared" si="19"/>
        <v>29.167052111082182</v>
      </c>
    </row>
    <row r="37" spans="1:19" s="21" customFormat="1" x14ac:dyDescent="0.75">
      <c r="B37" s="21" t="s">
        <v>26</v>
      </c>
      <c r="D37" s="21">
        <f>D36/D20</f>
        <v>7.3455349465667605E-2</v>
      </c>
      <c r="E37" s="21">
        <f t="shared" ref="E37:N37" si="20">E36/E20</f>
        <v>8.145740483152128E-2</v>
      </c>
      <c r="F37" s="21">
        <f t="shared" si="20"/>
        <v>0.19093496156922199</v>
      </c>
      <c r="G37" s="21">
        <f t="shared" si="20"/>
        <v>4.2308944783837649E-2</v>
      </c>
      <c r="H37" s="21">
        <f t="shared" si="20"/>
        <v>7.2814052148808206E-2</v>
      </c>
      <c r="I37" s="21">
        <f t="shared" si="20"/>
        <v>-0.1250289395540792</v>
      </c>
      <c r="J37" s="21">
        <f t="shared" si="20"/>
        <v>0.14438383407737454</v>
      </c>
      <c r="K37" s="21">
        <f t="shared" si="20"/>
        <v>-0.24899540198722656</v>
      </c>
      <c r="L37" s="21">
        <f t="shared" si="20"/>
        <v>7.5954239795979733E-2</v>
      </c>
      <c r="M37" s="21">
        <f t="shared" si="20"/>
        <v>0.11260480819890276</v>
      </c>
      <c r="N37" s="21">
        <f t="shared" si="20"/>
        <v>-4.7933331967674866E-2</v>
      </c>
      <c r="O37" s="21">
        <f>AVERAGE(L37:N37)</f>
        <v>4.6875238675735877E-2</v>
      </c>
      <c r="P37" s="21">
        <f t="shared" ref="P37:S37" si="21">AVERAGE(M37:O37)</f>
        <v>3.7182238302321258E-2</v>
      </c>
      <c r="Q37" s="21">
        <f t="shared" si="21"/>
        <v>1.2041381670127423E-2</v>
      </c>
      <c r="R37" s="21">
        <f t="shared" si="21"/>
        <v>3.2032952882728179E-2</v>
      </c>
      <c r="S37" s="21">
        <f t="shared" si="21"/>
        <v>2.7085524285058952E-2</v>
      </c>
    </row>
    <row r="38" spans="1:19" x14ac:dyDescent="0.75">
      <c r="O38">
        <v>1</v>
      </c>
      <c r="P38">
        <v>2</v>
      </c>
      <c r="Q38">
        <v>3</v>
      </c>
      <c r="R38">
        <v>4</v>
      </c>
      <c r="S38">
        <v>5</v>
      </c>
    </row>
    <row r="39" spans="1:19" x14ac:dyDescent="0.75">
      <c r="A39" t="s">
        <v>5</v>
      </c>
      <c r="B39" s="11" t="s">
        <v>29</v>
      </c>
      <c r="C39" s="11"/>
      <c r="D39" s="11">
        <f>D29</f>
        <v>2013</v>
      </c>
      <c r="E39" s="11">
        <f t="shared" ref="E39:S39" si="22">E29</f>
        <v>2014</v>
      </c>
      <c r="F39" s="11">
        <f t="shared" si="22"/>
        <v>2015</v>
      </c>
      <c r="G39" s="11">
        <f t="shared" si="22"/>
        <v>2016</v>
      </c>
      <c r="H39" s="11">
        <f t="shared" si="22"/>
        <v>2017</v>
      </c>
      <c r="I39" s="11">
        <f t="shared" si="22"/>
        <v>2018</v>
      </c>
      <c r="J39" s="11">
        <f t="shared" si="22"/>
        <v>2019</v>
      </c>
      <c r="K39" s="11">
        <f t="shared" si="22"/>
        <v>2020</v>
      </c>
      <c r="L39" s="11">
        <f t="shared" si="22"/>
        <v>2021</v>
      </c>
      <c r="M39" s="11">
        <f t="shared" si="22"/>
        <v>2022</v>
      </c>
      <c r="N39" s="36">
        <f t="shared" si="22"/>
        <v>2023</v>
      </c>
      <c r="O39" s="11">
        <f t="shared" si="22"/>
        <v>2024</v>
      </c>
      <c r="P39" s="11">
        <f t="shared" si="22"/>
        <v>2025</v>
      </c>
      <c r="Q39" s="11">
        <f t="shared" si="22"/>
        <v>2026</v>
      </c>
      <c r="R39" s="11">
        <f t="shared" si="22"/>
        <v>2027</v>
      </c>
      <c r="S39" s="11">
        <f t="shared" si="22"/>
        <v>2028</v>
      </c>
    </row>
    <row r="40" spans="1:19" s="38" customFormat="1" ht="16" x14ac:dyDescent="0.8">
      <c r="B40" s="58" t="s">
        <v>18</v>
      </c>
      <c r="D40" s="59">
        <f>D20</f>
        <v>569.87</v>
      </c>
      <c r="E40" s="59">
        <f t="shared" ref="E40:N40" si="23">E20</f>
        <v>704.54</v>
      </c>
      <c r="F40" s="59">
        <f t="shared" si="23"/>
        <v>622.678</v>
      </c>
      <c r="G40" s="59">
        <f t="shared" si="23"/>
        <v>767.71</v>
      </c>
      <c r="H40" s="59">
        <f t="shared" si="23"/>
        <v>737.08299999999997</v>
      </c>
      <c r="I40" s="59">
        <f t="shared" si="23"/>
        <v>794.76</v>
      </c>
      <c r="J40" s="59">
        <f t="shared" si="23"/>
        <v>811.55899999999997</v>
      </c>
      <c r="K40" s="59">
        <f t="shared" si="23"/>
        <v>641.79899999999998</v>
      </c>
      <c r="L40" s="59">
        <f t="shared" si="23"/>
        <v>665.03200000000004</v>
      </c>
      <c r="M40" s="59">
        <f t="shared" si="23"/>
        <v>776.29899999999998</v>
      </c>
      <c r="N40" s="59">
        <f t="shared" si="23"/>
        <v>781.06399999999996</v>
      </c>
      <c r="O40" s="38">
        <f ca="1">N40*(1+O41)</f>
        <v>814.20000000000016</v>
      </c>
      <c r="P40" s="38">
        <f t="shared" ref="P40:S40" ca="1" si="24">O40*(1+P41)</f>
        <v>860.46132573003013</v>
      </c>
      <c r="Q40" s="38">
        <f t="shared" ca="1" si="24"/>
        <v>921.73657524952569</v>
      </c>
      <c r="R40" s="38">
        <f t="shared" ca="1" si="24"/>
        <v>1000.6427980688712</v>
      </c>
      <c r="S40" s="38">
        <f t="shared" ca="1" si="24"/>
        <v>1100.7070778757584</v>
      </c>
    </row>
    <row r="41" spans="1:19" s="21" customFormat="1" ht="16" x14ac:dyDescent="0.8">
      <c r="B41" s="42" t="s">
        <v>30</v>
      </c>
      <c r="D41" s="21" t="str">
        <f>D21</f>
        <v>--</v>
      </c>
      <c r="E41" s="21">
        <f t="shared" ref="E41:N41" si="25">E21</f>
        <v>0.23631705476687659</v>
      </c>
      <c r="F41" s="21">
        <f t="shared" si="25"/>
        <v>-0.11619212535838983</v>
      </c>
      <c r="G41" s="21">
        <f t="shared" si="25"/>
        <v>0.23291653149782077</v>
      </c>
      <c r="H41" s="21">
        <f t="shared" si="25"/>
        <v>-3.9893970379440237E-2</v>
      </c>
      <c r="I41" s="21">
        <f t="shared" si="25"/>
        <v>7.8250346297499773E-2</v>
      </c>
      <c r="J41" s="21">
        <f t="shared" si="25"/>
        <v>2.1137198651165104E-2</v>
      </c>
      <c r="K41" s="21">
        <f t="shared" si="25"/>
        <v>-0.209177644508902</v>
      </c>
      <c r="L41" s="21">
        <f t="shared" si="25"/>
        <v>3.619980710471668E-2</v>
      </c>
      <c r="M41" s="21">
        <f t="shared" si="25"/>
        <v>0.167310745949067</v>
      </c>
      <c r="N41" s="21">
        <f t="shared" si="25"/>
        <v>6.1380988510869993E-3</v>
      </c>
      <c r="O41" s="21">
        <f ca="1">OFFSET(O42,D9,0)</f>
        <v>4.242418034885756E-2</v>
      </c>
      <c r="P41" s="21">
        <f ca="1">OFFSET(P42,$D$9,0)</f>
        <v>5.6818135261643171E-2</v>
      </c>
      <c r="Q41" s="21">
        <f t="shared" ref="Q41:S41" ca="1" si="26">OFFSET(Q42,$D$9,0)</f>
        <v>7.1212090174428783E-2</v>
      </c>
      <c r="R41" s="21">
        <f t="shared" ca="1" si="26"/>
        <v>8.5606045087214394E-2</v>
      </c>
      <c r="S41" s="21">
        <f t="shared" ca="1" si="26"/>
        <v>0.1</v>
      </c>
    </row>
    <row r="42" spans="1:19" s="29" customFormat="1" ht="16" x14ac:dyDescent="0.8">
      <c r="B42" s="30" t="s">
        <v>31</v>
      </c>
      <c r="N42" s="37"/>
      <c r="O42" s="48">
        <f>O43</f>
        <v>4.242418034885756E-2</v>
      </c>
      <c r="P42" s="48">
        <f>O42+(S42-O42)/(S39-O39)</f>
        <v>4.6818135261643169E-2</v>
      </c>
      <c r="Q42" s="48">
        <f>P42+(S42-P42)/(S39-P39)</f>
        <v>5.1212090174428779E-2</v>
      </c>
      <c r="R42" s="48">
        <f>Q42+(S42-Q42)/(S39-Q39)</f>
        <v>5.5606045087214388E-2</v>
      </c>
      <c r="S42" s="49">
        <v>0.06</v>
      </c>
    </row>
    <row r="43" spans="1:19" s="29" customFormat="1" ht="16" x14ac:dyDescent="0.8">
      <c r="B43" s="30" t="s">
        <v>32</v>
      </c>
      <c r="N43" s="37"/>
      <c r="O43" s="50">
        <f>O21</f>
        <v>4.242418034885756E-2</v>
      </c>
      <c r="P43" s="48">
        <f>O43+(S43-O43)/(S39-O39)</f>
        <v>5.1818135261643167E-2</v>
      </c>
      <c r="Q43" s="48">
        <f>P43+(S43-P43)/(S39-P39)</f>
        <v>6.1212090174428781E-2</v>
      </c>
      <c r="R43" s="48">
        <f>Q43+(S43-Q43)/(S39-Q39)</f>
        <v>7.0606045087214395E-2</v>
      </c>
      <c r="S43" s="51">
        <v>0.08</v>
      </c>
    </row>
    <row r="44" spans="1:19" s="29" customFormat="1" ht="16" x14ac:dyDescent="0.8">
      <c r="B44" s="30" t="s">
        <v>33</v>
      </c>
      <c r="N44" s="37"/>
      <c r="O44" s="50">
        <f>O43</f>
        <v>4.242418034885756E-2</v>
      </c>
      <c r="P44" s="50">
        <f>O44+(S44-O44)/($S$39-$O$39)</f>
        <v>5.6818135261643171E-2</v>
      </c>
      <c r="Q44" s="50">
        <f>P44+(S44-P44)/(S39-P39)</f>
        <v>7.1212090174428783E-2</v>
      </c>
      <c r="R44" s="50">
        <f>Q44+(S44-Q44)/(S39-Q39)</f>
        <v>8.5606045087214394E-2</v>
      </c>
      <c r="S44" s="50">
        <v>0.1</v>
      </c>
    </row>
    <row r="45" spans="1:19" ht="16" x14ac:dyDescent="0.8">
      <c r="B45" s="14"/>
    </row>
    <row r="46" spans="1:19" s="38" customFormat="1" ht="16" x14ac:dyDescent="0.8">
      <c r="B46" s="58" t="s">
        <v>13</v>
      </c>
      <c r="D46" s="59">
        <f>D23</f>
        <v>82.93</v>
      </c>
      <c r="E46" s="59">
        <f t="shared" ref="E46:N46" si="27">E23</f>
        <v>99.1</v>
      </c>
      <c r="F46" s="59">
        <f t="shared" si="27"/>
        <v>49.875999999999998</v>
      </c>
      <c r="G46" s="59">
        <f t="shared" si="27"/>
        <v>102.566</v>
      </c>
      <c r="H46" s="59">
        <f t="shared" si="27"/>
        <v>102.49</v>
      </c>
      <c r="I46" s="59">
        <f t="shared" si="27"/>
        <v>59.45</v>
      </c>
      <c r="J46" s="59">
        <f t="shared" si="27"/>
        <v>64.686000000000007</v>
      </c>
      <c r="K46" s="59">
        <f t="shared" si="27"/>
        <v>6.5830000000000002</v>
      </c>
      <c r="L46" s="59">
        <f t="shared" si="27"/>
        <v>-49.698999999999998</v>
      </c>
      <c r="M46" s="59">
        <f t="shared" si="27"/>
        <v>-116.31699999999999</v>
      </c>
      <c r="N46" s="59">
        <f t="shared" si="27"/>
        <v>-13.467000000000001</v>
      </c>
      <c r="O46" s="38">
        <f ca="1">O47*O40</f>
        <v>81.420000000000016</v>
      </c>
      <c r="P46" s="38">
        <f t="shared" ref="P46:S46" ca="1" si="28">P47*P40</f>
        <v>96.801899144628393</v>
      </c>
      <c r="Q46" s="38">
        <f t="shared" ca="1" si="28"/>
        <v>115.21707190619071</v>
      </c>
      <c r="R46" s="38">
        <f t="shared" ca="1" si="28"/>
        <v>137.5883847344698</v>
      </c>
      <c r="S46" s="38">
        <f t="shared" ca="1" si="28"/>
        <v>165.10606168136374</v>
      </c>
    </row>
    <row r="47" spans="1:19" s="21" customFormat="1" ht="16" x14ac:dyDescent="0.8">
      <c r="B47" s="42" t="s">
        <v>21</v>
      </c>
      <c r="D47" s="21">
        <f>D24</f>
        <v>0.14552441784968503</v>
      </c>
      <c r="E47" s="21">
        <f t="shared" ref="E47:N47" si="29">E24</f>
        <v>0.14065915349022057</v>
      </c>
      <c r="F47" s="21">
        <f t="shared" si="29"/>
        <v>8.0099184490218051E-2</v>
      </c>
      <c r="G47" s="21">
        <f t="shared" si="29"/>
        <v>0.1335999270557893</v>
      </c>
      <c r="H47" s="21">
        <f t="shared" si="29"/>
        <v>0.13904811262775019</v>
      </c>
      <c r="I47" s="21">
        <f t="shared" si="29"/>
        <v>7.4802456087372293E-2</v>
      </c>
      <c r="J47" s="21">
        <f t="shared" si="29"/>
        <v>7.9705850098390887E-2</v>
      </c>
      <c r="K47" s="21">
        <f t="shared" si="29"/>
        <v>1.0257105417739823E-2</v>
      </c>
      <c r="L47" s="21">
        <f t="shared" si="29"/>
        <v>-7.4731742231952739E-2</v>
      </c>
      <c r="M47" s="21">
        <f t="shared" si="29"/>
        <v>-0.14983530830259989</v>
      </c>
      <c r="N47" s="21">
        <f t="shared" si="29"/>
        <v>-1.7241864943205679E-2</v>
      </c>
      <c r="O47" s="21">
        <f ca="1">OFFSET(O48,$D$10,0)</f>
        <v>0.1</v>
      </c>
      <c r="P47" s="21">
        <f t="shared" ref="P47:S47" ca="1" si="30">OFFSET(P48,$D$10,0)</f>
        <v>0.1125</v>
      </c>
      <c r="Q47" s="21">
        <f t="shared" ca="1" si="30"/>
        <v>0.125</v>
      </c>
      <c r="R47" s="21">
        <f t="shared" ca="1" si="30"/>
        <v>0.13750000000000001</v>
      </c>
      <c r="S47" s="21">
        <f t="shared" ca="1" si="30"/>
        <v>0.15</v>
      </c>
    </row>
    <row r="48" spans="1:19" s="29" customFormat="1" ht="16" x14ac:dyDescent="0.8">
      <c r="B48" s="30" t="s">
        <v>31</v>
      </c>
      <c r="N48" s="37"/>
      <c r="O48" s="50">
        <v>0.1</v>
      </c>
      <c r="P48" s="50">
        <f>O48+(S48-O48)/(S38-O38)</f>
        <v>0.10250000000000001</v>
      </c>
      <c r="Q48" s="50">
        <f>P48+(S48-P48)/(S39-P39)</f>
        <v>0.10500000000000001</v>
      </c>
      <c r="R48" s="50">
        <f>Q48+(S48-Q48)/(S39-Q39)</f>
        <v>0.10750000000000001</v>
      </c>
      <c r="S48" s="50">
        <v>0.11</v>
      </c>
    </row>
    <row r="49" spans="2:19" s="29" customFormat="1" ht="16" x14ac:dyDescent="0.8">
      <c r="B49" s="30" t="s">
        <v>32</v>
      </c>
      <c r="N49" s="37"/>
      <c r="O49" s="50">
        <v>0.1</v>
      </c>
      <c r="P49" s="50">
        <f>O49+(S49-O49)/(S38-O38)</f>
        <v>0.10750000000000001</v>
      </c>
      <c r="Q49" s="50">
        <f>P49+(S49-P49)/(S38-P38)</f>
        <v>0.115</v>
      </c>
      <c r="R49" s="50">
        <f>Q49+(S49-Q49)/(S38-Q38)</f>
        <v>0.1225</v>
      </c>
      <c r="S49" s="50">
        <v>0.13</v>
      </c>
    </row>
    <row r="50" spans="2:19" s="29" customFormat="1" ht="16" x14ac:dyDescent="0.8">
      <c r="B50" s="30" t="s">
        <v>33</v>
      </c>
      <c r="N50" s="37"/>
      <c r="O50" s="50">
        <v>0.1</v>
      </c>
      <c r="P50" s="50">
        <f>O50+(S50-O50)/(S39-O39)</f>
        <v>0.1125</v>
      </c>
      <c r="Q50" s="50">
        <f>P50+(S50-P50)/(S39-P39)</f>
        <v>0.125</v>
      </c>
      <c r="R50" s="50">
        <f>Q50+(S50-Q50)/(S39-Q39)</f>
        <v>0.13750000000000001</v>
      </c>
      <c r="S50" s="50">
        <v>0.15</v>
      </c>
    </row>
    <row r="51" spans="2:19" ht="16" x14ac:dyDescent="0.8">
      <c r="B51" s="14"/>
    </row>
    <row r="52" spans="2:19" ht="16" x14ac:dyDescent="0.8">
      <c r="B52" s="14" t="s">
        <v>16</v>
      </c>
      <c r="D52" s="25">
        <f>Historicals!B11</f>
        <v>-243.54</v>
      </c>
      <c r="E52" s="25">
        <f>Historicals!C11</f>
        <v>27.11</v>
      </c>
      <c r="F52" s="25">
        <f>Historicals!D11</f>
        <v>-1.41</v>
      </c>
      <c r="G52" s="25">
        <f>Historicals!E11</f>
        <v>18.565000000000001</v>
      </c>
      <c r="H52" s="25">
        <f>Historicals!F11</f>
        <v>22.016999999999999</v>
      </c>
      <c r="I52" s="25">
        <f>Historicals!G11</f>
        <v>85.355000000000004</v>
      </c>
      <c r="J52" s="25">
        <f>Historicals!H11</f>
        <v>11.122999999999999</v>
      </c>
      <c r="K52" s="25">
        <f>Historicals!I11</f>
        <v>3.0449999999999999</v>
      </c>
      <c r="L52" s="25">
        <f>Historicals!J11</f>
        <v>91.775999999999996</v>
      </c>
      <c r="M52" s="25">
        <f>Historicals!K11</f>
        <v>-45.408000000000001</v>
      </c>
      <c r="N52" s="25">
        <f>Historicals!L11</f>
        <v>-4.6929999999999996</v>
      </c>
      <c r="O52" s="61">
        <f ca="1">O54*O46</f>
        <v>32.60648443528784</v>
      </c>
      <c r="P52" s="61">
        <f t="shared" ref="P52:S52" ca="1" si="31">P54*P46</f>
        <v>36.763283165693089</v>
      </c>
      <c r="Q52" s="61">
        <f t="shared" ca="1" si="31"/>
        <v>43.756970446218318</v>
      </c>
      <c r="R52" s="61">
        <f t="shared" ca="1" si="31"/>
        <v>51.888404948500252</v>
      </c>
      <c r="S52" s="61">
        <f t="shared" ca="1" si="31"/>
        <v>62.740303438918225</v>
      </c>
    </row>
    <row r="53" spans="2:19" s="29" customFormat="1" ht="16" x14ac:dyDescent="0.8">
      <c r="B53" s="31" t="s">
        <v>34</v>
      </c>
      <c r="D53" s="29">
        <f>D52/D46</f>
        <v>-2.9366935970095258</v>
      </c>
      <c r="E53" s="29">
        <f t="shared" ref="E53:N53" si="32">E52/E46</f>
        <v>0.2735620585267407</v>
      </c>
      <c r="F53" s="29">
        <f t="shared" si="32"/>
        <v>-2.827010987248376E-2</v>
      </c>
      <c r="G53" s="29">
        <f t="shared" si="32"/>
        <v>0.1810054014000741</v>
      </c>
      <c r="H53" s="29">
        <f t="shared" si="32"/>
        <v>0.2148209581422578</v>
      </c>
      <c r="I53" s="29">
        <f t="shared" si="32"/>
        <v>1.4357443229604709</v>
      </c>
      <c r="J53" s="29">
        <f t="shared" si="32"/>
        <v>0.17195374578734191</v>
      </c>
      <c r="K53" s="29">
        <f t="shared" si="32"/>
        <v>0.46255506607929514</v>
      </c>
      <c r="L53" s="29">
        <f t="shared" si="32"/>
        <v>-1.8466367532545926</v>
      </c>
      <c r="M53" s="29">
        <f t="shared" si="32"/>
        <v>0.3903814575685412</v>
      </c>
      <c r="N53" s="29">
        <f t="shared" si="32"/>
        <v>0.34848147323086059</v>
      </c>
      <c r="O53" s="21">
        <f>O54</f>
        <v>0.40047266562623229</v>
      </c>
      <c r="P53" s="21">
        <f t="shared" ref="P53:S53" si="33">P54</f>
        <v>0.37977853214187801</v>
      </c>
      <c r="Q53" s="21">
        <f t="shared" si="33"/>
        <v>0.37977853214187801</v>
      </c>
      <c r="R53" s="21">
        <f t="shared" si="33"/>
        <v>0.37712780078521219</v>
      </c>
      <c r="S53" s="21">
        <f t="shared" si="33"/>
        <v>0.38</v>
      </c>
    </row>
    <row r="54" spans="2:19" s="29" customFormat="1" ht="16" x14ac:dyDescent="0.8">
      <c r="B54" s="30" t="s">
        <v>32</v>
      </c>
      <c r="N54" s="37"/>
      <c r="O54" s="50">
        <f>AVERAGE(N53,M53,K53)</f>
        <v>0.40047266562623229</v>
      </c>
      <c r="P54" s="50">
        <f>AVERAGE(O54,M53:N53)</f>
        <v>0.37977853214187801</v>
      </c>
      <c r="Q54" s="50">
        <f>AVERAGE(P54,O54,N53,M53)</f>
        <v>0.37977853214187801</v>
      </c>
      <c r="R54" s="50">
        <f>AVERAGE(Q54,P54,O54,N53)</f>
        <v>0.37712780078521219</v>
      </c>
      <c r="S54" s="50">
        <v>0.38</v>
      </c>
    </row>
    <row r="57" spans="2:19" x14ac:dyDescent="0.75">
      <c r="B57" s="55" t="s">
        <v>35</v>
      </c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7"/>
      <c r="O57" s="62">
        <f ca="1">O46-O52</f>
        <v>48.813515564712176</v>
      </c>
      <c r="P57" s="62">
        <f t="shared" ref="P57:S57" ca="1" si="34">P46-P52</f>
        <v>60.038615978935304</v>
      </c>
      <c r="Q57" s="62">
        <f t="shared" ca="1" si="34"/>
        <v>71.460101459972392</v>
      </c>
      <c r="R57" s="62">
        <f t="shared" ca="1" si="34"/>
        <v>85.699979785969546</v>
      </c>
      <c r="S57" s="62">
        <f t="shared" ca="1" si="34"/>
        <v>102.36575824244551</v>
      </c>
    </row>
    <row r="59" spans="2:19" x14ac:dyDescent="0.75">
      <c r="B59" s="23" t="s">
        <v>25</v>
      </c>
      <c r="D59" s="45">
        <f>D30</f>
        <v>77.64</v>
      </c>
      <c r="E59" s="45">
        <f t="shared" ref="E59:N59" si="35">E30</f>
        <v>14.09</v>
      </c>
      <c r="F59" s="45">
        <f t="shared" si="35"/>
        <v>136.08000000000001</v>
      </c>
      <c r="G59" s="45">
        <f t="shared" si="35"/>
        <v>160.69999999999999</v>
      </c>
      <c r="H59" s="45">
        <f t="shared" si="35"/>
        <v>156.922</v>
      </c>
      <c r="I59" s="45">
        <f t="shared" si="35"/>
        <v>176.47900000000001</v>
      </c>
      <c r="J59" s="45">
        <f t="shared" si="35"/>
        <v>148.92599999999999</v>
      </c>
      <c r="K59" s="45">
        <f t="shared" si="35"/>
        <v>155.24</v>
      </c>
      <c r="L59" s="45">
        <f t="shared" si="35"/>
        <v>177.62700000000001</v>
      </c>
      <c r="M59" s="45">
        <f t="shared" si="35"/>
        <v>191.46700000000001</v>
      </c>
      <c r="N59" s="64">
        <f t="shared" si="35"/>
        <v>224.697</v>
      </c>
      <c r="O59" s="60">
        <f>O30</f>
        <v>234.22958605184724</v>
      </c>
      <c r="P59" s="60">
        <f t="shared" ref="P59:S59" si="36">P30</f>
        <v>258.20489150697</v>
      </c>
      <c r="Q59" s="60">
        <f t="shared" si="36"/>
        <v>271.19435525050955</v>
      </c>
      <c r="R59" s="60">
        <f t="shared" si="36"/>
        <v>288.83004558925086</v>
      </c>
      <c r="S59" s="60">
        <f t="shared" si="36"/>
        <v>309.78896516947117</v>
      </c>
    </row>
    <row r="60" spans="2:19" s="21" customFormat="1" x14ac:dyDescent="0.75">
      <c r="B60" s="19" t="s">
        <v>26</v>
      </c>
      <c r="D60" s="21">
        <f>D31</f>
        <v>0.13624159896116658</v>
      </c>
      <c r="E60" s="21">
        <f t="shared" ref="E60:N60" si="37">E31</f>
        <v>1.9998864507338121E-2</v>
      </c>
      <c r="F60" s="21">
        <f t="shared" si="37"/>
        <v>0.21853991950895971</v>
      </c>
      <c r="G60" s="21">
        <f t="shared" si="37"/>
        <v>0.2093238332182725</v>
      </c>
      <c r="H60" s="21">
        <f t="shared" si="37"/>
        <v>0.21289596965334975</v>
      </c>
      <c r="I60" s="21">
        <f t="shared" si="37"/>
        <v>0.2220531984498465</v>
      </c>
      <c r="J60" s="21">
        <f t="shared" si="37"/>
        <v>0.18350606671850106</v>
      </c>
      <c r="K60" s="21">
        <f t="shared" si="37"/>
        <v>0.24188258317635275</v>
      </c>
      <c r="L60" s="21">
        <f t="shared" si="37"/>
        <v>0.26709541796484981</v>
      </c>
      <c r="M60" s="21">
        <f t="shared" si="37"/>
        <v>0.24664079175678447</v>
      </c>
      <c r="N60" s="43">
        <f t="shared" si="37"/>
        <v>0.28768065100939233</v>
      </c>
      <c r="O60" s="21">
        <f>O31</f>
        <v>0.28768065100939233</v>
      </c>
      <c r="P60" s="21">
        <f t="shared" ref="P60:S60" si="38">P31</f>
        <v>0.28768065100939233</v>
      </c>
      <c r="Q60" s="21">
        <f t="shared" si="38"/>
        <v>0.28768065100939233</v>
      </c>
      <c r="R60" s="21">
        <f t="shared" si="38"/>
        <v>0.28768065100939233</v>
      </c>
      <c r="S60" s="21">
        <f t="shared" si="38"/>
        <v>0.28768065100939233</v>
      </c>
    </row>
    <row r="62" spans="2:19" x14ac:dyDescent="0.75">
      <c r="B62" s="23" t="s">
        <v>27</v>
      </c>
      <c r="D62" s="45">
        <f>D33</f>
        <v>396.68</v>
      </c>
      <c r="E62" s="45">
        <f t="shared" ref="E62:N62" si="39">E33</f>
        <v>414.52</v>
      </c>
      <c r="F62" s="45">
        <f t="shared" si="39"/>
        <v>394.90899999999999</v>
      </c>
      <c r="G62" s="45">
        <f t="shared" si="39"/>
        <v>366.04</v>
      </c>
      <c r="H62" s="45">
        <f t="shared" si="39"/>
        <v>310.37700000000001</v>
      </c>
      <c r="I62" s="45">
        <f t="shared" si="39"/>
        <v>330.55500000000001</v>
      </c>
      <c r="J62" s="45">
        <f t="shared" si="39"/>
        <v>318.39</v>
      </c>
      <c r="K62" s="45">
        <f t="shared" si="39"/>
        <v>320.79700000000003</v>
      </c>
      <c r="L62" s="45">
        <f t="shared" si="39"/>
        <v>332.517</v>
      </c>
      <c r="M62" s="45">
        <f t="shared" si="39"/>
        <v>323.00599999999997</v>
      </c>
      <c r="N62" s="64">
        <f t="shared" si="39"/>
        <v>305.10399999999998</v>
      </c>
      <c r="O62" s="60">
        <f>O33</f>
        <v>367.72374931754365</v>
      </c>
      <c r="P62" s="60">
        <f t="shared" ref="P62:S62" si="40">P33</f>
        <v>394.54742270368439</v>
      </c>
      <c r="Q62" s="60">
        <f t="shared" si="40"/>
        <v>400.15790401217612</v>
      </c>
      <c r="R62" s="60">
        <f t="shared" si="40"/>
        <v>428.28833533365253</v>
      </c>
      <c r="S62" s="60">
        <f t="shared" si="40"/>
        <v>469.04733395745848</v>
      </c>
    </row>
    <row r="63" spans="2:19" s="41" customFormat="1" x14ac:dyDescent="0.75">
      <c r="B63" s="41" t="s">
        <v>21</v>
      </c>
      <c r="D63" s="41">
        <f>D34</f>
        <v>0.69608858160633125</v>
      </c>
      <c r="E63" s="41">
        <f t="shared" ref="E63:N63" si="41">E34</f>
        <v>0.58835552275243419</v>
      </c>
      <c r="F63" s="41">
        <f t="shared" si="41"/>
        <v>0.63421061929279654</v>
      </c>
      <c r="G63" s="41">
        <f t="shared" si="41"/>
        <v>0.47679462296961095</v>
      </c>
      <c r="H63" s="41">
        <f t="shared" si="41"/>
        <v>0.42108826278723022</v>
      </c>
      <c r="I63" s="41">
        <f t="shared" si="41"/>
        <v>0.4159180129850521</v>
      </c>
      <c r="J63" s="41">
        <f t="shared" si="41"/>
        <v>0.39231898112152042</v>
      </c>
      <c r="K63" s="41">
        <f t="shared" si="41"/>
        <v>0.49984029267730246</v>
      </c>
      <c r="L63" s="41">
        <f t="shared" si="41"/>
        <v>0.50000150368704055</v>
      </c>
      <c r="M63" s="41">
        <f t="shared" si="41"/>
        <v>0.41608452413309815</v>
      </c>
      <c r="N63" s="65">
        <f t="shared" si="41"/>
        <v>0.39062612026671312</v>
      </c>
      <c r="O63" s="41">
        <f>O34</f>
        <v>0.45163811019103861</v>
      </c>
      <c r="P63" s="41">
        <f t="shared" ref="P63:S63" si="42">P34</f>
        <v>0.43958756456947257</v>
      </c>
      <c r="Q63" s="41">
        <f t="shared" si="42"/>
        <v>0.42448407979008063</v>
      </c>
      <c r="R63" s="41">
        <f t="shared" si="42"/>
        <v>0.42658396870432619</v>
      </c>
      <c r="S63" s="41">
        <f t="shared" si="42"/>
        <v>0.43557343081372951</v>
      </c>
    </row>
    <row r="65" spans="2:19" x14ac:dyDescent="0.75">
      <c r="B65" s="23" t="s">
        <v>28</v>
      </c>
      <c r="D65" s="60">
        <f>D36</f>
        <v>41.86</v>
      </c>
      <c r="E65" s="60">
        <f t="shared" ref="E65:N65" si="43">E36</f>
        <v>57.39</v>
      </c>
      <c r="F65" s="60">
        <f t="shared" si="43"/>
        <v>118.89100000000001</v>
      </c>
      <c r="G65" s="60">
        <f t="shared" si="43"/>
        <v>32.481000000000002</v>
      </c>
      <c r="H65" s="60">
        <f t="shared" si="43"/>
        <v>53.67</v>
      </c>
      <c r="I65" s="60">
        <f t="shared" si="43"/>
        <v>-99.367999999999995</v>
      </c>
      <c r="J65" s="60">
        <f t="shared" si="43"/>
        <v>117.176</v>
      </c>
      <c r="K65" s="60">
        <f t="shared" si="43"/>
        <v>-159.80500000000001</v>
      </c>
      <c r="L65" s="60">
        <f t="shared" si="43"/>
        <v>50.512</v>
      </c>
      <c r="M65" s="60">
        <f t="shared" si="43"/>
        <v>87.415000000000006</v>
      </c>
      <c r="N65" s="60">
        <f t="shared" si="43"/>
        <v>-37.439</v>
      </c>
      <c r="O65" s="60">
        <f>O36</f>
        <v>38.165819329784156</v>
      </c>
      <c r="P65" s="60">
        <f t="shared" ref="P65:S65" si="44">P36</f>
        <v>33.372546165865423</v>
      </c>
      <c r="Q65" s="60">
        <f t="shared" si="44"/>
        <v>11.351318647596131</v>
      </c>
      <c r="R65" s="60">
        <f t="shared" si="44"/>
        <v>32.160936820094442</v>
      </c>
      <c r="S65" s="60">
        <f t="shared" si="44"/>
        <v>29.167052111082182</v>
      </c>
    </row>
    <row r="66" spans="2:19" x14ac:dyDescent="0.75">
      <c r="B66" s="21" t="s">
        <v>26</v>
      </c>
      <c r="D66" s="21">
        <f>D37</f>
        <v>7.3455349465667605E-2</v>
      </c>
      <c r="E66" s="21">
        <f t="shared" ref="E66:N66" si="45">E37</f>
        <v>8.145740483152128E-2</v>
      </c>
      <c r="F66" s="21">
        <f t="shared" si="45"/>
        <v>0.19093496156922199</v>
      </c>
      <c r="G66" s="21">
        <f t="shared" si="45"/>
        <v>4.2308944783837649E-2</v>
      </c>
      <c r="H66" s="21">
        <f t="shared" si="45"/>
        <v>7.2814052148808206E-2</v>
      </c>
      <c r="I66" s="21">
        <f t="shared" si="45"/>
        <v>-0.1250289395540792</v>
      </c>
      <c r="J66" s="21">
        <f t="shared" si="45"/>
        <v>0.14438383407737454</v>
      </c>
      <c r="K66" s="21">
        <f t="shared" si="45"/>
        <v>-0.24899540198722656</v>
      </c>
      <c r="L66" s="21">
        <f t="shared" si="45"/>
        <v>7.5954239795979733E-2</v>
      </c>
      <c r="M66" s="21">
        <f t="shared" si="45"/>
        <v>0.11260480819890276</v>
      </c>
      <c r="N66" s="21">
        <f t="shared" si="45"/>
        <v>-4.7933331967674866E-2</v>
      </c>
      <c r="O66" s="21">
        <f>O37</f>
        <v>4.6875238675735877E-2</v>
      </c>
      <c r="P66" s="21">
        <f t="shared" ref="P66:S66" si="46">P37</f>
        <v>3.7182238302321258E-2</v>
      </c>
      <c r="Q66" s="21">
        <f t="shared" si="46"/>
        <v>1.2041381670127423E-2</v>
      </c>
      <c r="R66" s="21">
        <f t="shared" si="46"/>
        <v>3.2032952882728179E-2</v>
      </c>
      <c r="S66" s="21">
        <f t="shared" si="46"/>
        <v>2.7085524285058952E-2</v>
      </c>
    </row>
    <row r="68" spans="2:19" x14ac:dyDescent="0.75">
      <c r="B68" s="63" t="s">
        <v>36</v>
      </c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7"/>
      <c r="O68" s="62">
        <f ca="1">O57+O59-O65-O62</f>
        <v>-122.84646703076839</v>
      </c>
      <c r="P68" s="62">
        <f t="shared" ref="P68:S68" ca="1" si="47">P57+P59-P62-P65</f>
        <v>-109.67646138364452</v>
      </c>
      <c r="Q68" s="62">
        <f t="shared" ca="1" si="47"/>
        <v>-68.854765949290297</v>
      </c>
      <c r="R68" s="62">
        <f t="shared" ca="1" si="47"/>
        <v>-85.919246778526542</v>
      </c>
      <c r="S68" s="62">
        <f t="shared" ca="1" si="47"/>
        <v>-86.059662656623985</v>
      </c>
    </row>
    <row r="69" spans="2:19" x14ac:dyDescent="0.75">
      <c r="B69" s="63" t="s">
        <v>37</v>
      </c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7"/>
      <c r="O69" s="62">
        <f ca="1">O68/(1+wacc)^O38</f>
        <v>-17.769910575420322</v>
      </c>
      <c r="P69" s="62">
        <f ca="1">P68/(1+wacc)^P38</f>
        <v>-2.2948725563451231</v>
      </c>
      <c r="Q69" s="62">
        <f ca="1">Q68/(1+wacc)^Q38</f>
        <v>-0.20840192210011732</v>
      </c>
      <c r="R69" s="62">
        <f ca="1">R68/(1+wacc)^R38</f>
        <v>-3.7616704555014056E-2</v>
      </c>
      <c r="S69" s="62">
        <f ca="1">S68/(1+wacc)^S38</f>
        <v>-5.4502007063144788E-3</v>
      </c>
    </row>
    <row r="72" spans="2:19" x14ac:dyDescent="0.75">
      <c r="B72" s="81" t="s">
        <v>38</v>
      </c>
      <c r="C72" s="82"/>
      <c r="D72" s="82"/>
      <c r="E72" s="82"/>
      <c r="F72" s="82"/>
      <c r="G72" s="82"/>
      <c r="H72" s="82"/>
      <c r="I72" s="82"/>
      <c r="J72" s="82"/>
      <c r="K72" s="82"/>
      <c r="L72" s="82"/>
      <c r="M72" s="82"/>
      <c r="N72" s="83"/>
      <c r="O72" s="82"/>
      <c r="P72" s="82"/>
      <c r="Q72" s="82"/>
      <c r="R72" s="82"/>
      <c r="S72" s="85">
        <f ca="1">S68/(wacc-tgr)</f>
        <v>-14.615681606298498</v>
      </c>
    </row>
    <row r="73" spans="2:19" x14ac:dyDescent="0.75">
      <c r="B73" s="84" t="s">
        <v>39</v>
      </c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4"/>
      <c r="O73" s="53"/>
      <c r="P73" s="53"/>
      <c r="Q73" s="53"/>
      <c r="R73" s="53"/>
      <c r="S73" s="86">
        <f ca="1">S72/(1+wacc)^S38</f>
        <v>-9.2561829496997608E-4</v>
      </c>
    </row>
    <row r="74" spans="2:19" x14ac:dyDescent="0.75">
      <c r="B74" s="1" t="s">
        <v>40</v>
      </c>
      <c r="S74" s="61">
        <f ca="1">SUM(O69:S69,S73)</f>
        <v>-20.317177577421859</v>
      </c>
    </row>
    <row r="75" spans="2:19" x14ac:dyDescent="0.75">
      <c r="B75" t="s">
        <v>41</v>
      </c>
      <c r="S75" s="25">
        <f>'Balance Sheet'!L2</f>
        <v>91.572999999999993</v>
      </c>
    </row>
    <row r="76" spans="2:19" x14ac:dyDescent="0.75">
      <c r="B76" s="1" t="s">
        <v>42</v>
      </c>
      <c r="S76" s="28">
        <f>WACC!C7</f>
        <v>1462.377</v>
      </c>
    </row>
    <row r="77" spans="2:19" x14ac:dyDescent="0.75">
      <c r="B77" s="1" t="s">
        <v>43</v>
      </c>
      <c r="S77" s="61">
        <f ca="1">-S74-S76+S75</f>
        <v>-1350.4868224225779</v>
      </c>
    </row>
    <row r="79" spans="2:19" x14ac:dyDescent="0.75">
      <c r="B79" t="s">
        <v>44</v>
      </c>
      <c r="S79" s="28">
        <f>Historicals!B18</f>
        <v>163</v>
      </c>
    </row>
    <row r="80" spans="2:19" x14ac:dyDescent="0.75">
      <c r="B80" s="24" t="s">
        <v>45</v>
      </c>
      <c r="S80" s="61">
        <f ca="1">-S77/S79</f>
        <v>8.2851952295863676</v>
      </c>
    </row>
    <row r="1048576" spans="1:17" x14ac:dyDescent="0.75">
      <c r="A1048576" s="6"/>
      <c r="B1048576" s="11"/>
      <c r="C1048576" s="12"/>
      <c r="D1048576" s="12"/>
      <c r="E1048576" s="12"/>
      <c r="F1048576" s="12"/>
      <c r="G1048576" s="12"/>
      <c r="H1048576" s="12"/>
      <c r="I1048576" s="12"/>
      <c r="J1048576" s="12"/>
      <c r="K1048576" s="12"/>
      <c r="L1048576" s="12"/>
      <c r="M1048576" s="12"/>
      <c r="N1048576" s="34"/>
      <c r="O1048576" s="12"/>
      <c r="P1048576" s="12"/>
      <c r="Q1048576" s="1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443F87-2E26-4C22-9D6B-1FF4D320ECAF}">
  <dimension ref="A1:C21"/>
  <sheetViews>
    <sheetView topLeftCell="A5" workbookViewId="0">
      <selection activeCell="C21" sqref="C21"/>
    </sheetView>
  </sheetViews>
  <sheetFormatPr defaultRowHeight="14.75" x14ac:dyDescent="0.75"/>
  <cols>
    <col min="1" max="1" width="68.40625" bestFit="1" customWidth="1"/>
    <col min="3" max="3" width="5.1796875" bestFit="1" customWidth="1"/>
  </cols>
  <sheetData>
    <row r="1" spans="1:3" ht="21.75" x14ac:dyDescent="1.1000000000000001">
      <c r="A1" s="66" t="s">
        <v>14</v>
      </c>
      <c r="B1" s="53"/>
      <c r="C1" s="67"/>
    </row>
    <row r="2" spans="1:3" x14ac:dyDescent="0.75">
      <c r="C2" s="28"/>
    </row>
    <row r="3" spans="1:3" x14ac:dyDescent="0.75">
      <c r="A3" s="68" t="s">
        <v>14</v>
      </c>
      <c r="B3" s="69"/>
      <c r="C3" s="70"/>
    </row>
    <row r="4" spans="1:3" x14ac:dyDescent="0.75">
      <c r="A4" s="1" t="s">
        <v>129</v>
      </c>
      <c r="C4" s="28"/>
    </row>
    <row r="5" spans="1:3" x14ac:dyDescent="0.75">
      <c r="A5" s="1" t="s">
        <v>130</v>
      </c>
      <c r="C5" s="28"/>
    </row>
    <row r="6" spans="1:3" x14ac:dyDescent="0.75">
      <c r="C6" s="28"/>
    </row>
    <row r="7" spans="1:3" x14ac:dyDescent="0.75">
      <c r="A7" t="s">
        <v>131</v>
      </c>
      <c r="C7" s="71">
        <f>'Balance Sheet'!L18</f>
        <v>1462.377</v>
      </c>
    </row>
    <row r="8" spans="1:3" x14ac:dyDescent="0.75">
      <c r="A8" t="s">
        <v>132</v>
      </c>
      <c r="C8" s="72">
        <f>C7/C19</f>
        <v>0.35429429905244658</v>
      </c>
    </row>
    <row r="9" spans="1:3" x14ac:dyDescent="0.75">
      <c r="A9" t="s">
        <v>133</v>
      </c>
      <c r="C9" s="71">
        <v>2.79</v>
      </c>
    </row>
    <row r="10" spans="1:3" x14ac:dyDescent="0.75">
      <c r="A10" t="s">
        <v>134</v>
      </c>
      <c r="C10" s="72">
        <v>0.21110000000000001</v>
      </c>
    </row>
    <row r="12" spans="1:3" x14ac:dyDescent="0.75">
      <c r="A12" t="s">
        <v>135</v>
      </c>
      <c r="C12" s="79">
        <v>2665.2</v>
      </c>
    </row>
    <row r="13" spans="1:3" x14ac:dyDescent="0.75">
      <c r="A13" t="s">
        <v>136</v>
      </c>
      <c r="C13" s="73">
        <f>C12/C19</f>
        <v>0.64570570094755353</v>
      </c>
    </row>
    <row r="14" spans="1:3" x14ac:dyDescent="0.75">
      <c r="A14" t="s">
        <v>137</v>
      </c>
      <c r="C14" s="74">
        <f>C15+C16*C17</f>
        <v>7.9499999999999993</v>
      </c>
    </row>
    <row r="15" spans="1:3" x14ac:dyDescent="0.75">
      <c r="A15" t="s">
        <v>138</v>
      </c>
      <c r="C15" s="74">
        <v>4.5</v>
      </c>
    </row>
    <row r="16" spans="1:3" x14ac:dyDescent="0.75">
      <c r="A16" t="s">
        <v>139</v>
      </c>
      <c r="C16" s="75">
        <v>0.69</v>
      </c>
    </row>
    <row r="17" spans="1:3" x14ac:dyDescent="0.75">
      <c r="A17" t="s">
        <v>140</v>
      </c>
      <c r="C17" s="71">
        <v>5</v>
      </c>
    </row>
    <row r="18" spans="1:3" x14ac:dyDescent="0.75">
      <c r="C18" s="28"/>
    </row>
    <row r="19" spans="1:3" x14ac:dyDescent="0.75">
      <c r="A19" t="s">
        <v>141</v>
      </c>
      <c r="C19" s="71">
        <f>C12+C7</f>
        <v>4127.5769999999993</v>
      </c>
    </row>
    <row r="20" spans="1:3" x14ac:dyDescent="0.75">
      <c r="C20" s="28"/>
    </row>
    <row r="21" spans="1:3" x14ac:dyDescent="0.75">
      <c r="A21" s="76" t="s">
        <v>14</v>
      </c>
      <c r="B21" s="77"/>
      <c r="C21" s="78">
        <f>C9*(1-C10)*C8+C14*C13</f>
        <v>5.9131730578707558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FD855-BC3F-4A7F-A239-5FB6F285ECE6}">
  <dimension ref="A1:L23"/>
  <sheetViews>
    <sheetView topLeftCell="A8" zoomScale="92" workbookViewId="0">
      <selection activeCell="L2" sqref="L2"/>
    </sheetView>
  </sheetViews>
  <sheetFormatPr defaultRowHeight="14.75" x14ac:dyDescent="0.75"/>
  <cols>
    <col min="1" max="1" width="41.6796875" bestFit="1" customWidth="1"/>
    <col min="2" max="12" width="9.58984375" bestFit="1" customWidth="1"/>
  </cols>
  <sheetData>
    <row r="1" spans="1:12" x14ac:dyDescent="0.75">
      <c r="A1" s="26" t="s">
        <v>47</v>
      </c>
      <c r="B1" s="27">
        <v>41455</v>
      </c>
      <c r="C1" s="27">
        <v>41820</v>
      </c>
      <c r="D1" s="27">
        <v>42185</v>
      </c>
      <c r="E1" s="27">
        <v>42551</v>
      </c>
      <c r="F1" s="27">
        <v>42916</v>
      </c>
      <c r="G1" s="27">
        <v>43281</v>
      </c>
      <c r="H1" s="27">
        <v>43646</v>
      </c>
      <c r="I1" s="27">
        <v>44012</v>
      </c>
      <c r="J1" s="27">
        <v>44377</v>
      </c>
      <c r="K1" s="27">
        <v>44742</v>
      </c>
      <c r="L1" s="27">
        <v>45107</v>
      </c>
    </row>
    <row r="2" spans="1:12" x14ac:dyDescent="0.75">
      <c r="A2" t="s">
        <v>107</v>
      </c>
      <c r="B2" s="25">
        <v>148.57</v>
      </c>
      <c r="C2" s="25">
        <v>107.94</v>
      </c>
      <c r="D2" s="25">
        <v>245.417</v>
      </c>
      <c r="E2" s="25">
        <v>341.43</v>
      </c>
      <c r="F2" s="25">
        <v>368.11700000000002</v>
      </c>
      <c r="G2" s="25">
        <v>326.00400000000002</v>
      </c>
      <c r="H2" s="25">
        <v>398.113</v>
      </c>
      <c r="I2" s="25">
        <v>64.98</v>
      </c>
      <c r="J2" s="25">
        <v>148.935</v>
      </c>
      <c r="K2" s="25">
        <v>161.36000000000001</v>
      </c>
      <c r="L2" s="25">
        <v>91.572999999999993</v>
      </c>
    </row>
    <row r="3" spans="1:12" x14ac:dyDescent="0.75">
      <c r="A3" t="s">
        <v>108</v>
      </c>
      <c r="B3" s="25">
        <v>107.67</v>
      </c>
      <c r="C3" s="25">
        <v>203.5</v>
      </c>
      <c r="D3" s="25">
        <v>131.96600000000001</v>
      </c>
      <c r="E3" s="25">
        <v>191.66</v>
      </c>
      <c r="F3" s="25">
        <v>131.553</v>
      </c>
      <c r="G3" s="25">
        <v>227.45400000000001</v>
      </c>
      <c r="H3" s="25">
        <v>33.234999999999999</v>
      </c>
      <c r="I3" s="25">
        <v>148.066</v>
      </c>
      <c r="J3" s="25">
        <v>69.903000000000006</v>
      </c>
      <c r="K3" s="25">
        <v>73.701999999999998</v>
      </c>
      <c r="L3" s="25">
        <v>55.908000000000001</v>
      </c>
    </row>
    <row r="4" spans="1:12" x14ac:dyDescent="0.75">
      <c r="A4" t="s">
        <v>109</v>
      </c>
      <c r="E4" s="25">
        <v>1.38</v>
      </c>
      <c r="F4" s="25">
        <v>2.0760000000000001</v>
      </c>
      <c r="G4" s="25">
        <v>1.907</v>
      </c>
      <c r="H4" s="25">
        <v>2.7559999999999998</v>
      </c>
      <c r="I4" s="25">
        <v>2.7559999999999998</v>
      </c>
      <c r="J4" s="25">
        <v>2.8</v>
      </c>
      <c r="K4" s="25">
        <v>2.9279999999999999</v>
      </c>
      <c r="L4" s="25">
        <v>3.8130000000000002</v>
      </c>
    </row>
    <row r="5" spans="1:12" x14ac:dyDescent="0.75">
      <c r="A5" t="s">
        <v>110</v>
      </c>
      <c r="H5" s="25">
        <v>16.861999999999998</v>
      </c>
      <c r="I5" s="25">
        <v>8.1989999999999998</v>
      </c>
      <c r="J5" s="25">
        <v>9.9689999999999994</v>
      </c>
      <c r="K5" s="25">
        <v>20.677</v>
      </c>
      <c r="L5" s="25">
        <v>19.86</v>
      </c>
    </row>
    <row r="6" spans="1:12" x14ac:dyDescent="0.75">
      <c r="A6" t="s">
        <v>111</v>
      </c>
      <c r="D6" s="25">
        <v>4.2999999999999997E-2</v>
      </c>
      <c r="E6" s="25">
        <v>11.750999999999999</v>
      </c>
      <c r="F6" s="25">
        <v>4.0810000000000004</v>
      </c>
      <c r="G6" s="25">
        <v>1.5609999999999999</v>
      </c>
      <c r="H6" s="25">
        <v>51.561999999999998</v>
      </c>
      <c r="I6" s="25">
        <v>59.433999999999997</v>
      </c>
      <c r="J6" s="25">
        <v>54.996000000000002</v>
      </c>
      <c r="K6" s="25">
        <v>57.018999999999998</v>
      </c>
      <c r="L6" s="25">
        <v>62.216000000000001</v>
      </c>
    </row>
    <row r="7" spans="1:12" x14ac:dyDescent="0.75">
      <c r="A7" t="s">
        <v>112</v>
      </c>
      <c r="B7" s="25">
        <v>256.25</v>
      </c>
      <c r="C7" s="25">
        <v>311.44</v>
      </c>
      <c r="D7" s="25">
        <v>377.42500000000001</v>
      </c>
      <c r="E7" s="25">
        <v>546.221</v>
      </c>
      <c r="F7" s="25">
        <v>505.827</v>
      </c>
      <c r="G7" s="25">
        <v>556.92700000000002</v>
      </c>
      <c r="H7" s="25">
        <v>502.529</v>
      </c>
      <c r="I7" s="25">
        <v>283.435</v>
      </c>
      <c r="J7" s="25">
        <v>286.60300000000001</v>
      </c>
      <c r="K7" s="25">
        <v>315.68599999999998</v>
      </c>
      <c r="L7" s="25">
        <v>233.37</v>
      </c>
    </row>
    <row r="8" spans="1:12" x14ac:dyDescent="0.75">
      <c r="A8" t="s">
        <v>113</v>
      </c>
      <c r="B8" s="25">
        <v>396.68</v>
      </c>
      <c r="C8" s="25">
        <v>414.52</v>
      </c>
      <c r="D8" s="25">
        <v>394.90899999999999</v>
      </c>
      <c r="E8" s="25">
        <v>366.04</v>
      </c>
      <c r="F8" s="25">
        <v>310.37700000000001</v>
      </c>
      <c r="G8" s="25">
        <v>330.55500000000001</v>
      </c>
      <c r="H8" s="25">
        <v>318.39</v>
      </c>
      <c r="I8" s="25">
        <v>320.79700000000003</v>
      </c>
      <c r="J8" s="25">
        <v>332.517</v>
      </c>
      <c r="K8" s="25">
        <v>323.00599999999997</v>
      </c>
      <c r="L8" s="25">
        <v>305.10399999999998</v>
      </c>
    </row>
    <row r="9" spans="1:12" x14ac:dyDescent="0.75">
      <c r="A9" t="s">
        <v>114</v>
      </c>
      <c r="B9" s="25">
        <v>22.09</v>
      </c>
      <c r="C9" s="25">
        <v>22.23</v>
      </c>
      <c r="D9" s="25">
        <v>21.364999999999998</v>
      </c>
      <c r="E9" s="25">
        <v>20.032</v>
      </c>
      <c r="F9" s="25">
        <v>17.712</v>
      </c>
      <c r="G9" s="25">
        <v>18.637</v>
      </c>
      <c r="H9" s="25">
        <v>32.325000000000003</v>
      </c>
      <c r="I9" s="25">
        <v>28.286999999999999</v>
      </c>
      <c r="J9" s="25">
        <v>27.661999999999999</v>
      </c>
      <c r="K9" s="25">
        <v>26.984999999999999</v>
      </c>
      <c r="L9" s="25">
        <v>24.084</v>
      </c>
    </row>
    <row r="10" spans="1:12" x14ac:dyDescent="0.75">
      <c r="A10" t="s">
        <v>115</v>
      </c>
      <c r="B10" s="25">
        <v>849.51</v>
      </c>
      <c r="C10" s="25">
        <v>685.49</v>
      </c>
      <c r="D10" s="25">
        <v>1040.5809999999999</v>
      </c>
      <c r="E10" s="25">
        <v>991.59500000000003</v>
      </c>
      <c r="F10" s="25">
        <v>909.98900000000003</v>
      </c>
      <c r="G10" s="25">
        <v>1077.115</v>
      </c>
      <c r="H10" s="25">
        <v>994.97799999999995</v>
      </c>
      <c r="I10" s="25">
        <v>977.33399999999995</v>
      </c>
      <c r="J10" s="25">
        <v>1015.437</v>
      </c>
      <c r="K10" s="25">
        <v>989.37699999999995</v>
      </c>
      <c r="L10" s="25">
        <v>978.59500000000003</v>
      </c>
    </row>
    <row r="11" spans="1:12" x14ac:dyDescent="0.75">
      <c r="A11" t="s">
        <v>116</v>
      </c>
      <c r="B11" s="25">
        <v>2.48</v>
      </c>
      <c r="C11" s="25">
        <v>332.79</v>
      </c>
      <c r="E11" s="25">
        <v>5.601</v>
      </c>
      <c r="F11" s="25">
        <v>2.113</v>
      </c>
      <c r="G11" s="25">
        <v>6.4749999999999996</v>
      </c>
      <c r="H11" s="25">
        <v>3.9E-2</v>
      </c>
      <c r="J11" s="25">
        <v>0.67200000000000004</v>
      </c>
      <c r="K11" s="25">
        <v>21.913</v>
      </c>
      <c r="L11" s="25">
        <v>9.0250000000000004</v>
      </c>
    </row>
    <row r="12" spans="1:12" x14ac:dyDescent="0.75">
      <c r="A12" t="s">
        <v>117</v>
      </c>
      <c r="B12" s="25">
        <v>1498.48</v>
      </c>
      <c r="C12" s="25">
        <v>1665.87</v>
      </c>
      <c r="D12" s="25">
        <v>1673.4739999999999</v>
      </c>
      <c r="E12" s="25">
        <v>1616.6790000000001</v>
      </c>
      <c r="F12" s="25">
        <v>1439.94</v>
      </c>
      <c r="G12" s="25">
        <v>1526.0550000000001</v>
      </c>
      <c r="H12" s="25">
        <v>1434.124</v>
      </c>
      <c r="I12" s="25">
        <v>1460.8389999999999</v>
      </c>
      <c r="J12" s="25">
        <v>1409.6489999999999</v>
      </c>
      <c r="K12" s="25">
        <v>1406.3109999999999</v>
      </c>
      <c r="L12" s="25">
        <v>1354.2260000000001</v>
      </c>
    </row>
    <row r="13" spans="1:12" x14ac:dyDescent="0.75">
      <c r="A13" t="s">
        <v>118</v>
      </c>
      <c r="B13" s="25">
        <v>1754.74</v>
      </c>
      <c r="C13" s="25">
        <v>1977.35</v>
      </c>
      <c r="D13" s="25">
        <v>2050.8989999999999</v>
      </c>
      <c r="E13" s="25">
        <v>2162.9</v>
      </c>
      <c r="F13" s="25">
        <v>1945.7660000000001</v>
      </c>
      <c r="G13" s="25">
        <v>2082.982</v>
      </c>
      <c r="H13" s="25">
        <v>1936.653</v>
      </c>
      <c r="I13" s="25">
        <v>1744.2739999999999</v>
      </c>
      <c r="J13" s="25">
        <v>1696.251</v>
      </c>
      <c r="K13" s="25">
        <v>1721.9970000000001</v>
      </c>
      <c r="L13" s="25">
        <v>1587.595</v>
      </c>
    </row>
    <row r="14" spans="1:12" x14ac:dyDescent="0.75">
      <c r="A14" t="s">
        <v>119</v>
      </c>
      <c r="B14" s="25">
        <v>373.27</v>
      </c>
      <c r="C14" s="25">
        <v>489.88</v>
      </c>
      <c r="D14" s="25">
        <v>509.65199999999999</v>
      </c>
      <c r="E14" s="25">
        <v>601.45600000000002</v>
      </c>
      <c r="F14" s="25">
        <v>525.42700000000002</v>
      </c>
      <c r="G14" s="25">
        <v>625.69600000000003</v>
      </c>
      <c r="H14" s="25">
        <v>554.96699999999998</v>
      </c>
      <c r="I14" s="25">
        <v>502.23200000000003</v>
      </c>
      <c r="J14" s="25">
        <v>516.86900000000003</v>
      </c>
      <c r="K14" s="25">
        <v>658.68399999999997</v>
      </c>
      <c r="L14" s="25">
        <v>634.66800000000001</v>
      </c>
    </row>
    <row r="15" spans="1:12" x14ac:dyDescent="0.75">
      <c r="A15" t="s">
        <v>120</v>
      </c>
      <c r="B15" s="25">
        <v>592.29</v>
      </c>
      <c r="C15" s="25">
        <v>531.54</v>
      </c>
      <c r="D15" s="25">
        <v>646.79200000000003</v>
      </c>
      <c r="E15" s="25">
        <v>721.80100000000004</v>
      </c>
      <c r="F15" s="25">
        <v>631.09400000000005</v>
      </c>
      <c r="G15" s="25">
        <v>655.577</v>
      </c>
      <c r="H15" s="25">
        <v>654.529</v>
      </c>
      <c r="I15" s="25">
        <v>655.62900000000002</v>
      </c>
      <c r="J15" s="25">
        <v>625.90899999999999</v>
      </c>
      <c r="K15" s="25">
        <v>705.96900000000005</v>
      </c>
      <c r="L15" s="25">
        <v>611.13599999999997</v>
      </c>
    </row>
    <row r="16" spans="1:12" x14ac:dyDescent="0.75">
      <c r="A16" t="s">
        <v>121</v>
      </c>
      <c r="B16" s="25">
        <v>32.53</v>
      </c>
      <c r="C16" s="25">
        <v>72.540000000000006</v>
      </c>
      <c r="D16" s="25">
        <v>80.119</v>
      </c>
      <c r="E16" s="25">
        <v>77.593999999999994</v>
      </c>
      <c r="F16" s="25">
        <v>106.836</v>
      </c>
      <c r="G16" s="25">
        <v>140.453</v>
      </c>
      <c r="H16" s="25">
        <v>105.44499999999999</v>
      </c>
      <c r="I16" s="25">
        <v>76.225999999999999</v>
      </c>
      <c r="J16" s="25">
        <v>103.831</v>
      </c>
      <c r="K16" s="25">
        <v>151.721</v>
      </c>
      <c r="L16" s="25">
        <v>195.124</v>
      </c>
    </row>
    <row r="17" spans="1:12" x14ac:dyDescent="0.75">
      <c r="A17" t="s">
        <v>122</v>
      </c>
      <c r="B17" s="25">
        <v>678.56</v>
      </c>
      <c r="C17" s="25">
        <v>676.4</v>
      </c>
      <c r="D17" s="25">
        <v>788.19600000000003</v>
      </c>
      <c r="E17" s="25">
        <v>878.74099999999999</v>
      </c>
      <c r="F17" s="25">
        <v>814.62599999999998</v>
      </c>
      <c r="G17" s="25">
        <v>884.452</v>
      </c>
      <c r="H17" s="25">
        <v>844.37300000000005</v>
      </c>
      <c r="I17" s="25">
        <v>799.20899999999995</v>
      </c>
      <c r="J17" s="25">
        <v>812.60900000000004</v>
      </c>
      <c r="K17" s="25">
        <v>893.58699999999999</v>
      </c>
      <c r="L17" s="25">
        <v>827.71</v>
      </c>
    </row>
    <row r="18" spans="1:12" x14ac:dyDescent="0.75">
      <c r="A18" t="s">
        <v>123</v>
      </c>
      <c r="B18" s="25">
        <v>1051.8399999999999</v>
      </c>
      <c r="C18" s="25">
        <v>1166.29</v>
      </c>
      <c r="D18" s="25">
        <v>1297.8489999999999</v>
      </c>
      <c r="E18" s="25">
        <v>1480.1969999999999</v>
      </c>
      <c r="F18" s="25">
        <v>1340.0519999999999</v>
      </c>
      <c r="G18" s="25">
        <v>1510.1489999999999</v>
      </c>
      <c r="H18" s="25">
        <v>1399.34</v>
      </c>
      <c r="I18" s="25">
        <v>1301.441</v>
      </c>
      <c r="J18" s="25">
        <v>1329.4770000000001</v>
      </c>
      <c r="K18" s="25">
        <v>1552.2719999999999</v>
      </c>
      <c r="L18" s="25">
        <v>1462.377</v>
      </c>
    </row>
    <row r="19" spans="1:12" x14ac:dyDescent="0.75">
      <c r="A19" t="s">
        <v>124</v>
      </c>
      <c r="B19" s="25">
        <v>0.08</v>
      </c>
      <c r="C19" s="25">
        <v>0.08</v>
      </c>
      <c r="D19" s="25">
        <v>8.2000000000000003E-2</v>
      </c>
      <c r="E19" s="25">
        <v>7.8E-2</v>
      </c>
      <c r="F19" s="25">
        <v>6.7000000000000004E-2</v>
      </c>
      <c r="G19" s="25">
        <v>7.0999999999999994E-2</v>
      </c>
      <c r="H19" s="25">
        <v>6.9000000000000006E-2</v>
      </c>
      <c r="I19" s="25">
        <v>6.7000000000000004E-2</v>
      </c>
      <c r="J19" s="25">
        <v>7.0999999999999994E-2</v>
      </c>
      <c r="K19" s="25">
        <v>7.0999999999999994E-2</v>
      </c>
      <c r="L19" s="25">
        <v>6.4000000000000001E-2</v>
      </c>
    </row>
    <row r="20" spans="1:12" x14ac:dyDescent="0.75">
      <c r="A20" t="s">
        <v>125</v>
      </c>
      <c r="B20" s="25">
        <v>203.7</v>
      </c>
      <c r="C20" s="25">
        <v>251.82</v>
      </c>
      <c r="D20" s="25">
        <v>244.68100000000001</v>
      </c>
      <c r="E20" s="25">
        <v>258.26499999999999</v>
      </c>
      <c r="F20" s="25">
        <v>242.779</v>
      </c>
      <c r="G20" s="25">
        <v>181.97800000000001</v>
      </c>
      <c r="H20" s="25">
        <v>171.91</v>
      </c>
      <c r="I20" s="25">
        <v>109.938</v>
      </c>
      <c r="J20" s="25">
        <v>-18.373999999999999</v>
      </c>
      <c r="K20" s="25">
        <v>-226.34299999999999</v>
      </c>
      <c r="L20" s="25">
        <v>-236.887</v>
      </c>
    </row>
    <row r="21" spans="1:12" x14ac:dyDescent="0.75">
      <c r="A21" t="s">
        <v>126</v>
      </c>
      <c r="B21" s="25">
        <v>391.11</v>
      </c>
      <c r="C21" s="25">
        <v>447.2</v>
      </c>
      <c r="D21" s="25">
        <v>399.846</v>
      </c>
      <c r="E21" s="25">
        <v>321.83600000000001</v>
      </c>
      <c r="F21" s="25">
        <v>275.58800000000002</v>
      </c>
      <c r="G21" s="25">
        <v>298.08</v>
      </c>
      <c r="H21" s="25">
        <v>276.27199999999999</v>
      </c>
      <c r="I21" s="25">
        <v>272.91899999999998</v>
      </c>
      <c r="J21" s="25">
        <v>321.12400000000002</v>
      </c>
      <c r="K21" s="25">
        <v>332.74799999999999</v>
      </c>
      <c r="L21" s="25">
        <v>304.80200000000002</v>
      </c>
    </row>
    <row r="22" spans="1:12" x14ac:dyDescent="0.75">
      <c r="A22" t="s">
        <v>127</v>
      </c>
      <c r="B22" s="25">
        <v>702.89</v>
      </c>
      <c r="C22" s="25">
        <v>811.05</v>
      </c>
      <c r="D22" s="25">
        <v>753.05100000000004</v>
      </c>
      <c r="E22" s="25">
        <v>682.70299999999997</v>
      </c>
      <c r="F22" s="25">
        <v>605.71400000000006</v>
      </c>
      <c r="G22" s="25">
        <v>572.83299999999997</v>
      </c>
      <c r="H22" s="25">
        <v>537.31299999999999</v>
      </c>
      <c r="I22" s="25">
        <v>442.83300000000003</v>
      </c>
      <c r="J22" s="25">
        <v>366.774</v>
      </c>
      <c r="K22" s="25">
        <v>169.726</v>
      </c>
      <c r="L22" s="25">
        <v>125.218</v>
      </c>
    </row>
    <row r="23" spans="1:12" x14ac:dyDescent="0.75">
      <c r="A23" t="s">
        <v>128</v>
      </c>
      <c r="B23" s="25">
        <v>1754.74</v>
      </c>
      <c r="C23" s="25">
        <v>1977.35</v>
      </c>
      <c r="D23" s="25">
        <v>2050.8989999999999</v>
      </c>
      <c r="E23" s="25">
        <v>2162.9</v>
      </c>
      <c r="F23" s="25">
        <v>1945.7660000000001</v>
      </c>
      <c r="G23" s="25">
        <v>2082.982</v>
      </c>
      <c r="H23" s="25">
        <v>1936.653</v>
      </c>
      <c r="I23" s="25">
        <v>1744.2739999999999</v>
      </c>
      <c r="J23" s="25">
        <v>1696.251</v>
      </c>
      <c r="K23" s="25">
        <v>1721.9970000000001</v>
      </c>
      <c r="L23" s="25">
        <v>1587.595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AC3B6-AEDC-49CA-BEF1-AC5D47269DBE}">
  <dimension ref="A2:L22"/>
  <sheetViews>
    <sheetView showGridLines="0" topLeftCell="A6" workbookViewId="0">
      <selection activeCell="L11" sqref="L11"/>
    </sheetView>
  </sheetViews>
  <sheetFormatPr defaultRowHeight="14.75" x14ac:dyDescent="0.75"/>
  <cols>
    <col min="1" max="1" width="61.58984375" bestFit="1" customWidth="1"/>
    <col min="2" max="3" width="8.953125" bestFit="1" customWidth="1"/>
    <col min="4" max="4" width="8.953125" customWidth="1"/>
    <col min="5" max="17" width="8.953125" bestFit="1" customWidth="1"/>
  </cols>
  <sheetData>
    <row r="2" spans="1:12" x14ac:dyDescent="0.75">
      <c r="A2" s="26" t="s">
        <v>47</v>
      </c>
      <c r="B2" s="27">
        <v>41455</v>
      </c>
      <c r="C2" s="27">
        <v>41820</v>
      </c>
      <c r="D2" s="27">
        <v>42185</v>
      </c>
      <c r="E2" s="27">
        <v>42551</v>
      </c>
      <c r="F2" s="27">
        <v>42916</v>
      </c>
      <c r="G2" s="27">
        <v>43281</v>
      </c>
      <c r="H2" s="27">
        <v>43646</v>
      </c>
      <c r="I2" s="27">
        <v>44012</v>
      </c>
      <c r="J2" s="27">
        <v>44377</v>
      </c>
      <c r="K2" s="27">
        <v>44742</v>
      </c>
      <c r="L2" s="27">
        <v>45107</v>
      </c>
    </row>
    <row r="3" spans="1:12" x14ac:dyDescent="0.75">
      <c r="A3" t="s">
        <v>18</v>
      </c>
      <c r="B3" s="25">
        <v>569.87</v>
      </c>
      <c r="C3" s="25">
        <v>704.54</v>
      </c>
      <c r="D3">
        <v>622.678</v>
      </c>
      <c r="E3" s="25">
        <v>767.71</v>
      </c>
      <c r="F3" s="25">
        <v>737.08299999999997</v>
      </c>
      <c r="G3" s="25">
        <v>794.76</v>
      </c>
      <c r="H3" s="25">
        <v>811.55899999999997</v>
      </c>
      <c r="I3" s="25">
        <v>641.79899999999998</v>
      </c>
      <c r="J3" s="25">
        <v>665.03200000000004</v>
      </c>
      <c r="K3" s="25">
        <v>776.29899999999998</v>
      </c>
      <c r="L3" s="25">
        <v>781.06399999999996</v>
      </c>
    </row>
    <row r="4" spans="1:12" x14ac:dyDescent="0.75">
      <c r="A4" t="s">
        <v>48</v>
      </c>
      <c r="B4" s="25"/>
      <c r="C4" s="25"/>
      <c r="D4" s="25"/>
    </row>
    <row r="5" spans="1:12" x14ac:dyDescent="0.75">
      <c r="A5" t="s">
        <v>49</v>
      </c>
      <c r="B5" s="25">
        <f t="shared" ref="B5:L5" si="0">B3</f>
        <v>569.87</v>
      </c>
      <c r="C5" s="25">
        <f t="shared" si="0"/>
        <v>704.54</v>
      </c>
      <c r="D5" s="25">
        <f t="shared" si="0"/>
        <v>622.678</v>
      </c>
      <c r="E5" s="25">
        <f t="shared" si="0"/>
        <v>767.71</v>
      </c>
      <c r="F5" s="25">
        <f t="shared" si="0"/>
        <v>737.08299999999997</v>
      </c>
      <c r="G5" s="25">
        <f t="shared" si="0"/>
        <v>794.76</v>
      </c>
      <c r="H5" s="25">
        <f t="shared" si="0"/>
        <v>811.55899999999997</v>
      </c>
      <c r="I5" s="25">
        <f t="shared" si="0"/>
        <v>641.79899999999998</v>
      </c>
      <c r="J5" s="25">
        <f t="shared" si="0"/>
        <v>665.03200000000004</v>
      </c>
      <c r="K5" s="25">
        <f t="shared" si="0"/>
        <v>776.29899999999998</v>
      </c>
      <c r="L5" s="25">
        <f t="shared" si="0"/>
        <v>781.06399999999996</v>
      </c>
    </row>
    <row r="6" spans="1:12" x14ac:dyDescent="0.75">
      <c r="A6" t="s">
        <v>50</v>
      </c>
      <c r="D6" s="25"/>
    </row>
    <row r="7" spans="1:12" x14ac:dyDescent="0.75">
      <c r="A7" t="s">
        <v>61</v>
      </c>
      <c r="D7" s="25">
        <f>-572.811</f>
        <v>-572.81100000000004</v>
      </c>
      <c r="E7" s="25">
        <v>-665.14400000000001</v>
      </c>
      <c r="F7" s="25">
        <v>-634.59299999999996</v>
      </c>
      <c r="G7" s="25">
        <v>-735.31</v>
      </c>
      <c r="H7" s="25">
        <v>-746.87300000000005</v>
      </c>
      <c r="I7" s="25">
        <v>-635.21600000000001</v>
      </c>
      <c r="J7" s="25">
        <v>-714.73099999999999</v>
      </c>
      <c r="K7" s="25">
        <v>-892.61599999999999</v>
      </c>
      <c r="L7" s="25">
        <v>-794.53099999999995</v>
      </c>
    </row>
    <row r="8" spans="1:12" x14ac:dyDescent="0.75">
      <c r="A8" t="s">
        <v>51</v>
      </c>
      <c r="B8" s="25">
        <v>82.93</v>
      </c>
      <c r="C8" s="25">
        <v>99.1</v>
      </c>
      <c r="D8" s="25">
        <v>49.875999999999998</v>
      </c>
      <c r="E8" s="25">
        <v>102.566</v>
      </c>
      <c r="F8" s="25">
        <v>102.49</v>
      </c>
      <c r="G8" s="25">
        <v>59.45</v>
      </c>
      <c r="H8" s="25">
        <v>64.686000000000007</v>
      </c>
      <c r="I8" s="25">
        <v>6.5830000000000002</v>
      </c>
      <c r="J8" s="25">
        <v>-49.698999999999998</v>
      </c>
      <c r="K8" s="25">
        <v>-116.31699999999999</v>
      </c>
      <c r="L8" s="25">
        <v>-13.467000000000001</v>
      </c>
    </row>
    <row r="9" spans="1:12" x14ac:dyDescent="0.75">
      <c r="A9" t="s">
        <v>52</v>
      </c>
      <c r="B9" s="25">
        <v>-96.73</v>
      </c>
      <c r="C9" s="25">
        <v>-33.22</v>
      </c>
      <c r="D9" s="25">
        <v>-4.21</v>
      </c>
      <c r="E9" s="25">
        <v>-29.818999999999999</v>
      </c>
      <c r="F9" s="25">
        <v>-30.788</v>
      </c>
      <c r="G9" s="25">
        <v>-24.297000000000001</v>
      </c>
      <c r="H9" s="25">
        <v>-29.129000000000001</v>
      </c>
      <c r="I9" s="25">
        <v>-32.83</v>
      </c>
      <c r="J9" s="25">
        <v>17.361000000000001</v>
      </c>
      <c r="K9" s="25">
        <v>-82.846000000000004</v>
      </c>
      <c r="L9" s="25">
        <v>-25.771000000000001</v>
      </c>
    </row>
    <row r="10" spans="1:12" x14ac:dyDescent="0.75">
      <c r="A10" t="s">
        <v>53</v>
      </c>
      <c r="B10" s="25">
        <v>-13.79</v>
      </c>
      <c r="C10" s="25">
        <v>65.87</v>
      </c>
      <c r="D10" s="25">
        <v>-1.41</v>
      </c>
      <c r="E10" s="25">
        <v>72.747</v>
      </c>
      <c r="F10" s="25">
        <v>71.701999999999998</v>
      </c>
      <c r="G10" s="25">
        <v>35.152999999999999</v>
      </c>
      <c r="H10" s="25">
        <v>35.557000000000002</v>
      </c>
      <c r="I10" s="25">
        <v>-26.247</v>
      </c>
      <c r="J10" s="25">
        <v>-32.338000000000001</v>
      </c>
      <c r="K10" s="25">
        <v>-199.16300000000001</v>
      </c>
      <c r="L10" s="25">
        <v>-39.238999999999997</v>
      </c>
    </row>
    <row r="11" spans="1:12" x14ac:dyDescent="0.75">
      <c r="A11" t="s">
        <v>54</v>
      </c>
      <c r="B11" s="25">
        <v>-243.54</v>
      </c>
      <c r="C11" s="25">
        <v>27.11</v>
      </c>
      <c r="D11" s="25">
        <v>-1.41</v>
      </c>
      <c r="E11" s="25">
        <v>18.565000000000001</v>
      </c>
      <c r="F11" s="25">
        <v>22.016999999999999</v>
      </c>
      <c r="G11" s="25">
        <v>85.355000000000004</v>
      </c>
      <c r="H11" s="25">
        <v>11.122999999999999</v>
      </c>
      <c r="I11" s="25">
        <v>3.0449999999999999</v>
      </c>
      <c r="J11" s="25">
        <v>91.775999999999996</v>
      </c>
      <c r="K11" s="25">
        <v>-45.408000000000001</v>
      </c>
      <c r="L11" s="25">
        <v>-4.6929999999999996</v>
      </c>
    </row>
    <row r="12" spans="1:12" x14ac:dyDescent="0.75">
      <c r="A12" t="s">
        <v>62</v>
      </c>
      <c r="B12" s="25">
        <v>229.75</v>
      </c>
      <c r="C12" s="25">
        <v>38.76</v>
      </c>
      <c r="D12" s="25">
        <v>-1.41</v>
      </c>
      <c r="E12" s="25">
        <v>54.182000000000002</v>
      </c>
      <c r="F12" s="25">
        <v>49.683999999999997</v>
      </c>
      <c r="G12" s="25">
        <v>-50.203000000000003</v>
      </c>
      <c r="H12" s="25">
        <v>24.434000000000001</v>
      </c>
      <c r="I12" s="25">
        <v>-29.292000000000002</v>
      </c>
      <c r="J12" s="25">
        <v>-124.114</v>
      </c>
      <c r="K12" s="25">
        <v>-153.755</v>
      </c>
      <c r="L12" s="25">
        <v>-34.545999999999999</v>
      </c>
    </row>
    <row r="13" spans="1:12" x14ac:dyDescent="0.75">
      <c r="A13" t="s">
        <v>63</v>
      </c>
      <c r="B13" s="25">
        <v>27.442</v>
      </c>
      <c r="C13" s="25">
        <v>46.191000000000003</v>
      </c>
      <c r="D13" s="25">
        <v>185.947</v>
      </c>
      <c r="E13" s="25">
        <v>54.182000000000002</v>
      </c>
      <c r="F13" s="25">
        <v>49.683999999999997</v>
      </c>
      <c r="G13" s="25">
        <v>-50.203000000000003</v>
      </c>
      <c r="H13" s="25">
        <v>24.434000000000001</v>
      </c>
      <c r="I13" s="25">
        <v>-29.292000000000002</v>
      </c>
      <c r="J13" s="25">
        <v>-124.114</v>
      </c>
      <c r="K13" s="25">
        <v>-153.755</v>
      </c>
      <c r="L13" s="25">
        <v>-34.545999999999999</v>
      </c>
    </row>
    <row r="14" spans="1:12" x14ac:dyDescent="0.75">
      <c r="A14" t="s">
        <v>64</v>
      </c>
    </row>
    <row r="15" spans="1:12" x14ac:dyDescent="0.75">
      <c r="A15" t="s">
        <v>55</v>
      </c>
      <c r="B15" s="25">
        <v>229.74</v>
      </c>
      <c r="C15" s="25">
        <v>38.76</v>
      </c>
      <c r="D15" s="25">
        <v>-1.41</v>
      </c>
      <c r="E15" s="25">
        <v>54.182000000000002</v>
      </c>
      <c r="F15" s="25">
        <v>49.683999999999997</v>
      </c>
      <c r="G15" s="25">
        <v>-50.203000000000003</v>
      </c>
      <c r="H15" s="25">
        <v>24.434000000000001</v>
      </c>
      <c r="I15" s="25">
        <v>-29.292000000000002</v>
      </c>
      <c r="J15" s="25">
        <v>-124.114</v>
      </c>
      <c r="K15" s="25">
        <v>-153.755</v>
      </c>
      <c r="L15" s="25">
        <v>-34.545999999999999</v>
      </c>
    </row>
    <row r="16" spans="1:12" x14ac:dyDescent="0.75">
      <c r="A16" t="s">
        <v>56</v>
      </c>
      <c r="B16" s="25">
        <v>160.57</v>
      </c>
      <c r="C16" s="25">
        <v>113.19</v>
      </c>
      <c r="D16" s="25">
        <v>164</v>
      </c>
      <c r="E16" s="25">
        <v>263.26600000000002</v>
      </c>
      <c r="F16" s="25">
        <v>259.41199999999998</v>
      </c>
      <c r="G16" s="25">
        <v>235.928</v>
      </c>
      <c r="H16" s="25">
        <v>213.61199999999999</v>
      </c>
      <c r="I16" s="25">
        <v>161.822</v>
      </c>
      <c r="J16" s="25">
        <v>127.928</v>
      </c>
      <c r="K16" s="25">
        <v>75.150000000000006</v>
      </c>
      <c r="L16" s="25">
        <v>211.22900000000001</v>
      </c>
    </row>
    <row r="17" spans="1:12" x14ac:dyDescent="0.75">
      <c r="A17" t="s">
        <v>13</v>
      </c>
      <c r="B17" s="25">
        <f t="shared" ref="B17:L17" si="1">B8</f>
        <v>82.93</v>
      </c>
      <c r="C17" s="25">
        <f t="shared" si="1"/>
        <v>99.1</v>
      </c>
      <c r="D17" s="25">
        <f t="shared" si="1"/>
        <v>49.875999999999998</v>
      </c>
      <c r="E17" s="25">
        <f t="shared" si="1"/>
        <v>102.566</v>
      </c>
      <c r="F17" s="25">
        <f t="shared" si="1"/>
        <v>102.49</v>
      </c>
      <c r="G17" s="25">
        <f t="shared" si="1"/>
        <v>59.45</v>
      </c>
      <c r="H17" s="25">
        <f t="shared" si="1"/>
        <v>64.686000000000007</v>
      </c>
      <c r="I17" s="25">
        <f t="shared" si="1"/>
        <v>6.5830000000000002</v>
      </c>
      <c r="J17" s="25">
        <f t="shared" si="1"/>
        <v>-49.698999999999998</v>
      </c>
      <c r="K17" s="25">
        <f t="shared" si="1"/>
        <v>-116.31699999999999</v>
      </c>
      <c r="L17" s="25">
        <f t="shared" si="1"/>
        <v>-13.467000000000001</v>
      </c>
    </row>
    <row r="18" spans="1:12" x14ac:dyDescent="0.75">
      <c r="A18" t="s">
        <v>57</v>
      </c>
      <c r="B18" s="28">
        <v>163</v>
      </c>
      <c r="C18" s="28">
        <v>164</v>
      </c>
      <c r="D18" s="28">
        <v>164</v>
      </c>
      <c r="E18">
        <v>164</v>
      </c>
      <c r="F18">
        <v>164</v>
      </c>
      <c r="G18">
        <v>164</v>
      </c>
      <c r="H18">
        <v>165</v>
      </c>
      <c r="I18">
        <v>164</v>
      </c>
      <c r="J18">
        <v>163</v>
      </c>
      <c r="K18">
        <v>163</v>
      </c>
      <c r="L18">
        <v>163</v>
      </c>
    </row>
    <row r="19" spans="1:12" x14ac:dyDescent="0.75">
      <c r="A19" t="s">
        <v>58</v>
      </c>
      <c r="B19" s="28">
        <v>163</v>
      </c>
      <c r="C19" s="28">
        <v>164</v>
      </c>
      <c r="D19" s="28">
        <v>164</v>
      </c>
      <c r="E19">
        <v>164</v>
      </c>
      <c r="F19">
        <v>164</v>
      </c>
      <c r="G19">
        <v>164</v>
      </c>
      <c r="H19">
        <v>165</v>
      </c>
      <c r="I19">
        <v>164</v>
      </c>
      <c r="J19">
        <v>163</v>
      </c>
      <c r="K19">
        <v>163</v>
      </c>
      <c r="L19">
        <v>163</v>
      </c>
    </row>
    <row r="20" spans="1:12" x14ac:dyDescent="0.75">
      <c r="A20" t="s">
        <v>59</v>
      </c>
      <c r="B20" s="25">
        <v>1.44</v>
      </c>
      <c r="C20" s="25">
        <v>0.23</v>
      </c>
      <c r="D20" s="25">
        <v>-0.01</v>
      </c>
      <c r="E20" s="25">
        <v>0.33</v>
      </c>
      <c r="F20" s="25">
        <v>0.3</v>
      </c>
      <c r="G20" s="25">
        <v>0.31</v>
      </c>
      <c r="H20" s="25">
        <v>0.15</v>
      </c>
      <c r="I20" s="25">
        <v>-0.18</v>
      </c>
      <c r="J20" s="25">
        <v>-0.76</v>
      </c>
      <c r="K20" s="25">
        <v>-0.94</v>
      </c>
      <c r="L20" s="25">
        <v>-0.21</v>
      </c>
    </row>
    <row r="21" spans="1:12" x14ac:dyDescent="0.75">
      <c r="A21" t="s">
        <v>60</v>
      </c>
      <c r="B21" s="25">
        <v>1.44</v>
      </c>
      <c r="C21" s="25">
        <v>0.23</v>
      </c>
      <c r="D21" s="25">
        <v>-0.01</v>
      </c>
      <c r="E21" s="25">
        <v>0.33</v>
      </c>
      <c r="F21" s="25">
        <v>0.3</v>
      </c>
      <c r="G21" s="25">
        <v>0.31</v>
      </c>
      <c r="H21" s="25">
        <v>0.15</v>
      </c>
      <c r="I21" s="25">
        <v>-0.18</v>
      </c>
      <c r="J21" s="25">
        <v>-0.76</v>
      </c>
      <c r="K21" s="25">
        <v>-0.94</v>
      </c>
      <c r="L21" s="25">
        <v>-0.21</v>
      </c>
    </row>
    <row r="22" spans="1:12" x14ac:dyDescent="0.75">
      <c r="D22" s="25"/>
      <c r="L22" s="2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33431-66E5-40E1-88F4-EB760030540C}">
  <dimension ref="A1:L30"/>
  <sheetViews>
    <sheetView workbookViewId="0">
      <selection activeCell="A10" sqref="A10"/>
    </sheetView>
  </sheetViews>
  <sheetFormatPr defaultRowHeight="14.75" x14ac:dyDescent="0.75"/>
  <cols>
    <col min="1" max="1" width="61.90625" bestFit="1" customWidth="1"/>
    <col min="2" max="3" width="9.26953125" bestFit="1" customWidth="1"/>
    <col min="4" max="9" width="15.08984375" bestFit="1" customWidth="1"/>
    <col min="10" max="10" width="17.2265625" bestFit="1" customWidth="1"/>
    <col min="11" max="11" width="15.08984375" bestFit="1" customWidth="1"/>
    <col min="12" max="12" width="14.08984375" bestFit="1" customWidth="1"/>
  </cols>
  <sheetData>
    <row r="1" spans="1:12" x14ac:dyDescent="0.75">
      <c r="A1" s="26" t="s">
        <v>65</v>
      </c>
      <c r="B1" s="27">
        <v>41455</v>
      </c>
      <c r="C1" s="27">
        <v>41820</v>
      </c>
      <c r="D1" s="27">
        <v>42185</v>
      </c>
      <c r="E1" s="27">
        <v>42551</v>
      </c>
      <c r="F1" s="27">
        <v>42916</v>
      </c>
      <c r="G1" s="27">
        <v>43281</v>
      </c>
      <c r="H1" s="27">
        <v>43646</v>
      </c>
      <c r="I1" s="27">
        <v>44012</v>
      </c>
      <c r="J1" s="27">
        <v>44377</v>
      </c>
      <c r="K1" s="27">
        <v>44742</v>
      </c>
      <c r="L1" s="27">
        <v>45107</v>
      </c>
    </row>
    <row r="2" spans="1:12" x14ac:dyDescent="0.75">
      <c r="A2" t="s">
        <v>66</v>
      </c>
      <c r="B2" s="25">
        <v>229.74</v>
      </c>
      <c r="C2" s="25">
        <v>65.87</v>
      </c>
      <c r="D2" s="25">
        <v>-5.6210000000000004</v>
      </c>
      <c r="E2" s="25">
        <v>72.747</v>
      </c>
      <c r="F2" s="25">
        <v>71.701999999999998</v>
      </c>
      <c r="G2" s="25">
        <v>35.152999999999999</v>
      </c>
      <c r="H2" s="25">
        <v>35.557000000000002</v>
      </c>
      <c r="I2" s="25">
        <v>-26.247</v>
      </c>
      <c r="J2" s="25">
        <v>-32.338000000000001</v>
      </c>
      <c r="K2" s="25">
        <v>-199.16300000000001</v>
      </c>
      <c r="L2" s="25">
        <v>-39.238999999999997</v>
      </c>
    </row>
    <row r="3" spans="1:12" x14ac:dyDescent="0.75">
      <c r="A3" t="s">
        <v>67</v>
      </c>
      <c r="B3" s="25">
        <v>77.64</v>
      </c>
      <c r="C3" s="25">
        <v>14.09</v>
      </c>
      <c r="D3" s="25">
        <v>136.08000000000001</v>
      </c>
      <c r="E3" s="25">
        <v>160.69999999999999</v>
      </c>
      <c r="F3" s="25">
        <v>156.922</v>
      </c>
      <c r="G3" s="25">
        <v>176.47900000000001</v>
      </c>
      <c r="H3" s="25">
        <v>148.92599999999999</v>
      </c>
      <c r="I3" s="25">
        <v>155.24</v>
      </c>
      <c r="J3" s="25">
        <v>177.62700000000001</v>
      </c>
      <c r="K3" s="25">
        <v>191.46700000000001</v>
      </c>
      <c r="L3" s="25">
        <v>224.697</v>
      </c>
    </row>
    <row r="4" spans="1:12" x14ac:dyDescent="0.75">
      <c r="A4" t="s">
        <v>104</v>
      </c>
      <c r="B4" s="25"/>
      <c r="C4" s="25"/>
      <c r="D4" s="25">
        <v>47.688000000000002</v>
      </c>
      <c r="E4" s="25">
        <v>33.298999999999999</v>
      </c>
      <c r="F4" s="25">
        <v>36.987000000000002</v>
      </c>
      <c r="G4" s="25">
        <v>48.844000000000001</v>
      </c>
      <c r="H4" s="25">
        <v>39.478000000000002</v>
      </c>
      <c r="I4" s="25">
        <v>52.264000000000003</v>
      </c>
      <c r="J4" s="25">
        <v>-10.365</v>
      </c>
      <c r="K4" s="25">
        <v>82.281999999999996</v>
      </c>
      <c r="L4" s="25">
        <v>7.202</v>
      </c>
    </row>
    <row r="5" spans="1:12" x14ac:dyDescent="0.75">
      <c r="A5" t="s">
        <v>105</v>
      </c>
      <c r="B5" s="25">
        <v>77.64</v>
      </c>
      <c r="C5" s="25">
        <v>14.09</v>
      </c>
      <c r="D5" s="25">
        <v>183.768</v>
      </c>
      <c r="E5" s="25">
        <v>193.999</v>
      </c>
      <c r="F5" s="25">
        <v>193.90899999999999</v>
      </c>
      <c r="G5" s="25">
        <v>225.322</v>
      </c>
      <c r="H5" s="25">
        <v>188.404</v>
      </c>
      <c r="I5" s="25">
        <v>207.50399999999999</v>
      </c>
      <c r="J5" s="25">
        <v>167.262</v>
      </c>
      <c r="K5" s="25">
        <v>273.74900000000002</v>
      </c>
      <c r="L5" s="25">
        <v>231.899</v>
      </c>
    </row>
    <row r="6" spans="1:12" x14ac:dyDescent="0.75">
      <c r="A6" t="s">
        <v>68</v>
      </c>
      <c r="D6" s="25">
        <v>92.183000000000007</v>
      </c>
      <c r="E6" s="25">
        <v>47.284999999999997</v>
      </c>
      <c r="F6" s="25">
        <v>22.225000000000001</v>
      </c>
      <c r="G6" s="25">
        <v>-97.02</v>
      </c>
      <c r="H6" s="25">
        <v>106.22799999999999</v>
      </c>
      <c r="I6" s="25">
        <v>-104.895</v>
      </c>
      <c r="J6" s="25">
        <v>96.494</v>
      </c>
      <c r="K6" t="s">
        <v>69</v>
      </c>
      <c r="L6" s="25">
        <v>29.431999999999999</v>
      </c>
    </row>
    <row r="7" spans="1:12" x14ac:dyDescent="0.75">
      <c r="A7" t="s">
        <v>70</v>
      </c>
      <c r="E7" s="25">
        <v>-1.38</v>
      </c>
      <c r="F7" t="s">
        <v>74</v>
      </c>
      <c r="G7" s="25">
        <v>0.29799999999999999</v>
      </c>
      <c r="H7" t="s">
        <v>73</v>
      </c>
      <c r="I7" t="s">
        <v>72</v>
      </c>
      <c r="J7" s="25">
        <v>0.14299999999999999</v>
      </c>
      <c r="K7" t="s">
        <v>71</v>
      </c>
      <c r="L7" s="25">
        <v>-1.1619999999999999</v>
      </c>
    </row>
    <row r="8" spans="1:12" x14ac:dyDescent="0.75">
      <c r="A8" t="s">
        <v>75</v>
      </c>
      <c r="D8" s="25">
        <v>26.707999999999998</v>
      </c>
      <c r="E8" s="25">
        <v>81.146000000000001</v>
      </c>
      <c r="F8" s="25">
        <v>32.347000000000001</v>
      </c>
      <c r="G8" s="25">
        <v>-2.6459999999999999</v>
      </c>
      <c r="H8" s="25">
        <v>10.397</v>
      </c>
      <c r="I8" s="25">
        <v>-14.337</v>
      </c>
      <c r="J8" s="25">
        <v>7.2880000000000003</v>
      </c>
      <c r="K8" s="25">
        <v>29.922999999999998</v>
      </c>
      <c r="L8" s="25">
        <v>-37.51</v>
      </c>
    </row>
    <row r="9" spans="1:12" x14ac:dyDescent="0.75">
      <c r="A9" t="s">
        <v>76</v>
      </c>
      <c r="H9" s="25">
        <v>1.4750000000000001</v>
      </c>
      <c r="I9" s="25">
        <v>-40.503</v>
      </c>
      <c r="J9" s="25">
        <v>-53.412999999999997</v>
      </c>
      <c r="K9" s="25">
        <v>58.343000000000004</v>
      </c>
      <c r="L9" s="25">
        <v>-28.199000000000002</v>
      </c>
    </row>
    <row r="10" spans="1:12" x14ac:dyDescent="0.75">
      <c r="A10" t="s">
        <v>77</v>
      </c>
      <c r="B10" s="25">
        <v>41.86</v>
      </c>
      <c r="C10" s="25">
        <v>57.39</v>
      </c>
      <c r="D10" s="25">
        <v>118.89100000000001</v>
      </c>
      <c r="E10" s="25">
        <v>32.481000000000002</v>
      </c>
      <c r="F10" s="25">
        <v>53.67</v>
      </c>
      <c r="G10" s="25">
        <v>-99.367999999999995</v>
      </c>
      <c r="H10" s="25">
        <v>117.176</v>
      </c>
      <c r="I10" s="25">
        <v>-159.80500000000001</v>
      </c>
      <c r="J10" s="25">
        <v>50.512</v>
      </c>
      <c r="K10" s="25">
        <v>87.415000000000006</v>
      </c>
      <c r="L10" s="25">
        <v>-37.439</v>
      </c>
    </row>
    <row r="11" spans="1:12" x14ac:dyDescent="0.75">
      <c r="A11" t="s">
        <v>78</v>
      </c>
      <c r="B11" s="25">
        <v>89.78</v>
      </c>
      <c r="C11" s="25">
        <v>118.37</v>
      </c>
      <c r="D11" s="25">
        <v>226.78100000000001</v>
      </c>
      <c r="E11" s="25">
        <v>277.221</v>
      </c>
      <c r="F11" s="25">
        <v>288.71800000000002</v>
      </c>
      <c r="G11" s="25">
        <v>128.30199999999999</v>
      </c>
      <c r="H11" s="25">
        <v>316.77499999999998</v>
      </c>
      <c r="I11" t="s">
        <v>79</v>
      </c>
      <c r="J11" s="25">
        <v>152.19800000000001</v>
      </c>
      <c r="K11" s="25">
        <v>128.279</v>
      </c>
      <c r="L11" s="25">
        <v>115.363</v>
      </c>
    </row>
    <row r="12" spans="1:12" x14ac:dyDescent="0.75">
      <c r="A12" t="s">
        <v>80</v>
      </c>
      <c r="B12" s="25">
        <v>-19.600000000000001</v>
      </c>
      <c r="C12" s="25">
        <v>-17.559999999999999</v>
      </c>
      <c r="D12" s="25">
        <v>-8.6129999999999995</v>
      </c>
      <c r="E12" s="25">
        <v>-7.5709999999999997</v>
      </c>
      <c r="F12" s="25">
        <v>-10.619</v>
      </c>
      <c r="G12" s="25">
        <v>-17.751999999999999</v>
      </c>
      <c r="H12" s="25">
        <v>-17.777000000000001</v>
      </c>
      <c r="I12" s="25">
        <v>-26.844000000000001</v>
      </c>
      <c r="J12" s="25">
        <v>-8.4</v>
      </c>
      <c r="K12" s="25">
        <v>-11.079000000000001</v>
      </c>
      <c r="L12" s="25">
        <v>-18.805</v>
      </c>
    </row>
    <row r="13" spans="1:12" x14ac:dyDescent="0.75">
      <c r="A13" t="s">
        <v>81</v>
      </c>
      <c r="D13" s="25">
        <v>-152.52199999999999</v>
      </c>
      <c r="E13" s="25">
        <v>-148.58000000000001</v>
      </c>
      <c r="F13" s="25">
        <v>-180.02600000000001</v>
      </c>
      <c r="G13" s="25">
        <v>-145.59700000000001</v>
      </c>
      <c r="H13" s="25">
        <v>-174.93799999999999</v>
      </c>
      <c r="I13" s="25">
        <v>-241.51300000000001</v>
      </c>
      <c r="J13" s="25">
        <v>-124.083</v>
      </c>
      <c r="K13" s="25">
        <v>-113.28700000000001</v>
      </c>
      <c r="L13" s="25">
        <v>-150.03200000000001</v>
      </c>
    </row>
    <row r="15" spans="1:12" x14ac:dyDescent="0.75">
      <c r="A15" t="s">
        <v>82</v>
      </c>
    </row>
    <row r="16" spans="1:12" x14ac:dyDescent="0.75">
      <c r="F16" t="s">
        <v>83</v>
      </c>
      <c r="H16" s="25">
        <v>-16.077999999999999</v>
      </c>
    </row>
    <row r="17" spans="1:12" x14ac:dyDescent="0.75">
      <c r="A17" t="s">
        <v>84</v>
      </c>
      <c r="B17" t="s">
        <v>85</v>
      </c>
      <c r="F17" t="s">
        <v>83</v>
      </c>
      <c r="H17" s="25">
        <v>-16.077999999999999</v>
      </c>
    </row>
    <row r="18" spans="1:12" x14ac:dyDescent="0.75">
      <c r="A18" t="s">
        <v>86</v>
      </c>
      <c r="B18" s="25">
        <v>-57.03</v>
      </c>
      <c r="C18" s="25">
        <v>-128.35</v>
      </c>
      <c r="J18" s="25">
        <v>-1.264</v>
      </c>
    </row>
    <row r="19" spans="1:12" x14ac:dyDescent="0.75">
      <c r="A19" t="s">
        <v>87</v>
      </c>
      <c r="B19" s="25">
        <v>-76.64</v>
      </c>
      <c r="C19" s="25">
        <v>-145.91</v>
      </c>
      <c r="D19" s="25">
        <v>-161.13499999999999</v>
      </c>
      <c r="E19" s="25">
        <v>-156.15</v>
      </c>
      <c r="F19" s="25">
        <v>-191.458</v>
      </c>
      <c r="G19" s="25">
        <v>-163.34899999999999</v>
      </c>
      <c r="H19" s="25">
        <v>-208.79300000000001</v>
      </c>
      <c r="I19" s="25">
        <v>-268.35599999999999</v>
      </c>
      <c r="J19" s="25">
        <v>-133.74600000000001</v>
      </c>
      <c r="K19" s="25">
        <v>-124.366</v>
      </c>
      <c r="L19" s="25">
        <v>-168.83699999999999</v>
      </c>
    </row>
    <row r="20" spans="1:12" x14ac:dyDescent="0.75">
      <c r="A20" t="s">
        <v>88</v>
      </c>
      <c r="D20" s="25">
        <v>70.259</v>
      </c>
      <c r="E20" t="s">
        <v>91</v>
      </c>
      <c r="F20" t="s">
        <v>90</v>
      </c>
      <c r="G20" t="s">
        <v>89</v>
      </c>
      <c r="H20" s="25">
        <v>-4.8529999999999998</v>
      </c>
      <c r="J20" s="25">
        <v>80.754000000000005</v>
      </c>
      <c r="K20" s="25">
        <v>53.244</v>
      </c>
    </row>
    <row r="21" spans="1:12" x14ac:dyDescent="0.75">
      <c r="A21" t="s">
        <v>92</v>
      </c>
      <c r="B21" s="25">
        <v>-78.55</v>
      </c>
      <c r="I21" s="25">
        <v>-2.351</v>
      </c>
      <c r="J21" s="25">
        <v>-2.2090000000000001</v>
      </c>
      <c r="K21" s="25">
        <v>-1.873</v>
      </c>
      <c r="L21" s="25">
        <v>-2.351</v>
      </c>
    </row>
    <row r="22" spans="1:12" x14ac:dyDescent="0.75">
      <c r="A22" t="s">
        <v>93</v>
      </c>
      <c r="C22" s="25">
        <v>-8.1199999999999992</v>
      </c>
      <c r="D22" s="25">
        <v>70.259</v>
      </c>
      <c r="E22" t="s">
        <v>91</v>
      </c>
      <c r="F22" t="s">
        <v>90</v>
      </c>
      <c r="G22" t="s">
        <v>89</v>
      </c>
      <c r="H22" s="25">
        <v>-4.8529999999999998</v>
      </c>
      <c r="I22" s="25">
        <v>-2.351</v>
      </c>
      <c r="J22" s="25">
        <v>78.545000000000002</v>
      </c>
      <c r="K22" s="25">
        <v>51.371000000000002</v>
      </c>
      <c r="L22" s="25">
        <v>-2.351</v>
      </c>
    </row>
    <row r="23" spans="1:12" x14ac:dyDescent="0.75">
      <c r="A23" t="s">
        <v>94</v>
      </c>
      <c r="I23" s="25">
        <v>-26.861000000000001</v>
      </c>
    </row>
    <row r="24" spans="1:12" x14ac:dyDescent="0.75">
      <c r="A24" t="s">
        <v>95</v>
      </c>
      <c r="B24" s="25">
        <v>110.24</v>
      </c>
      <c r="I24" s="25">
        <v>-26.861000000000001</v>
      </c>
    </row>
    <row r="25" spans="1:12" x14ac:dyDescent="0.75">
      <c r="A25" t="s">
        <v>96</v>
      </c>
      <c r="E25" s="25">
        <v>-29.919</v>
      </c>
      <c r="F25" s="25">
        <v>-29.542999999999999</v>
      </c>
      <c r="G25" s="25">
        <v>-29.61</v>
      </c>
      <c r="H25" s="25">
        <v>-30.186</v>
      </c>
      <c r="I25" s="25">
        <v>-29.286999999999999</v>
      </c>
      <c r="J25" s="25">
        <v>-14.425000000000001</v>
      </c>
      <c r="K25" s="25">
        <v>-44.661999999999999</v>
      </c>
    </row>
    <row r="26" spans="1:12" x14ac:dyDescent="0.75">
      <c r="A26" t="s">
        <v>97</v>
      </c>
      <c r="B26" s="25">
        <v>-6.46</v>
      </c>
    </row>
    <row r="27" spans="1:12" x14ac:dyDescent="0.75">
      <c r="A27" t="s">
        <v>98</v>
      </c>
      <c r="B27" s="25">
        <v>25.21</v>
      </c>
      <c r="C27" s="25">
        <v>-8.1199999999999992</v>
      </c>
      <c r="D27" s="25">
        <v>70.257999999999996</v>
      </c>
      <c r="E27" t="s">
        <v>99</v>
      </c>
      <c r="F27" s="25">
        <v>-30.044</v>
      </c>
      <c r="G27" s="25">
        <v>-30.173999999999999</v>
      </c>
      <c r="H27" s="25">
        <v>-35.039000000000001</v>
      </c>
      <c r="I27" s="25">
        <v>-58.5</v>
      </c>
      <c r="J27" s="25">
        <v>64.12</v>
      </c>
      <c r="K27" s="25">
        <v>6.7089999999999996</v>
      </c>
      <c r="L27" s="25">
        <v>-2.351</v>
      </c>
    </row>
    <row r="28" spans="1:12" x14ac:dyDescent="0.75">
      <c r="A28" t="s">
        <v>100</v>
      </c>
      <c r="B28" s="25">
        <v>37.39</v>
      </c>
      <c r="C28" s="25">
        <v>45.65</v>
      </c>
      <c r="D28" s="25">
        <v>140.846</v>
      </c>
      <c r="E28" t="s">
        <v>101</v>
      </c>
      <c r="F28" s="25">
        <v>77.453000000000003</v>
      </c>
      <c r="G28" s="25">
        <v>-64.986000000000004</v>
      </c>
      <c r="H28" s="25">
        <v>84.912000000000006</v>
      </c>
      <c r="I28" s="25">
        <v>-322.88799999999998</v>
      </c>
      <c r="J28" s="25">
        <v>79.567999999999998</v>
      </c>
      <c r="K28" s="25">
        <v>14.063000000000001</v>
      </c>
      <c r="L28" s="25">
        <v>-54.453000000000003</v>
      </c>
    </row>
    <row r="29" spans="1:12" x14ac:dyDescent="0.75">
      <c r="A29" t="s">
        <v>102</v>
      </c>
      <c r="I29" s="25">
        <v>1.0309999999999999</v>
      </c>
      <c r="J29" s="25">
        <v>2.806</v>
      </c>
      <c r="K29" s="25">
        <v>0.26400000000000001</v>
      </c>
      <c r="L29" s="25">
        <v>2.1120000000000001</v>
      </c>
    </row>
    <row r="30" spans="1:12" x14ac:dyDescent="0.75">
      <c r="A30" t="s">
        <v>103</v>
      </c>
      <c r="E30" s="25">
        <v>-29.919</v>
      </c>
      <c r="F30" s="25">
        <v>-29.542999999999999</v>
      </c>
      <c r="G30" s="25">
        <v>-29.61</v>
      </c>
      <c r="H30" s="25">
        <v>-30.186</v>
      </c>
      <c r="I30" s="25">
        <v>-29.286999999999999</v>
      </c>
      <c r="J30" s="25">
        <v>-14.425000000000001</v>
      </c>
      <c r="K30" s="25">
        <v>44.661999999999999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DCF</vt:lpstr>
      <vt:lpstr>WACC</vt:lpstr>
      <vt:lpstr>Balance Sheet</vt:lpstr>
      <vt:lpstr>Historicals</vt:lpstr>
      <vt:lpstr>Cashflow Statements</vt:lpstr>
      <vt:lpstr>tgr</vt:lpstr>
      <vt:lpstr>wacc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Anup Paudel</dc:creator>
  <cp:lastModifiedBy>Anuj Paudel</cp:lastModifiedBy>
  <dcterms:created xsi:type="dcterms:W3CDTF">2024-05-09T15:08:59Z</dcterms:created>
  <dcterms:modified xsi:type="dcterms:W3CDTF">2024-09-19T06:56:47Z</dcterms:modified>
</cp:coreProperties>
</file>