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LL\Desktop\New folder\"/>
    </mc:Choice>
  </mc:AlternateContent>
  <xr:revisionPtr revIDLastSave="0" documentId="13_ncr:1_{70B2F8C5-6D75-41DE-892C-151282908C69}" xr6:coauthVersionLast="47" xr6:coauthVersionMax="47" xr10:uidLastSave="{00000000-0000-0000-0000-000000000000}"/>
  <bookViews>
    <workbookView xWindow="-90" yWindow="-90" windowWidth="19380" windowHeight="10980" xr2:uid="{45504F4D-DDCA-4796-9B70-D17C404F3BC1}"/>
  </bookViews>
  <sheets>
    <sheet name="DCF" sheetId="1" r:id="rId1"/>
    <sheet name="wacc" sheetId="5" r:id="rId2"/>
    <sheet name="Income Statements" sheetId="2" r:id="rId3"/>
    <sheet name="Balance Sheet" sheetId="3" r:id="rId4"/>
    <sheet name="CashFlow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6" i="1" l="1"/>
  <c r="S73" i="1"/>
  <c r="S72" i="1"/>
  <c r="R38" i="1"/>
  <c r="S38" i="1" s="1"/>
  <c r="D17" i="1"/>
  <c r="D16" i="1"/>
  <c r="M14" i="1"/>
  <c r="D19" i="5"/>
  <c r="D13" i="5"/>
  <c r="D8" i="5"/>
  <c r="D7" i="5"/>
  <c r="D14" i="5"/>
  <c r="M7" i="4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S57" i="1"/>
  <c r="R57" i="1"/>
  <c r="Q57" i="1"/>
  <c r="P57" i="1"/>
  <c r="E57" i="1"/>
  <c r="F57" i="1"/>
  <c r="G57" i="1"/>
  <c r="H57" i="1"/>
  <c r="I57" i="1"/>
  <c r="J57" i="1"/>
  <c r="K57" i="1"/>
  <c r="L57" i="1"/>
  <c r="M57" i="1"/>
  <c r="N57" i="1"/>
  <c r="O57" i="1"/>
  <c r="D57" i="1"/>
  <c r="M13" i="1"/>
  <c r="S53" i="1"/>
  <c r="R53" i="1"/>
  <c r="Q53" i="1"/>
  <c r="P53" i="1"/>
  <c r="O53" i="1"/>
  <c r="S47" i="1"/>
  <c r="R47" i="1"/>
  <c r="Q47" i="1"/>
  <c r="P47" i="1"/>
  <c r="O47" i="1"/>
  <c r="R50" i="1"/>
  <c r="Q50" i="1"/>
  <c r="R48" i="1"/>
  <c r="Q48" i="1"/>
  <c r="P48" i="1"/>
  <c r="P50" i="1"/>
  <c r="O50" i="1"/>
  <c r="O48" i="1"/>
  <c r="S49" i="1"/>
  <c r="R49" i="1"/>
  <c r="Q49" i="1"/>
  <c r="P49" i="1"/>
  <c r="O49" i="1"/>
  <c r="S41" i="1"/>
  <c r="R41" i="1"/>
  <c r="Q41" i="1"/>
  <c r="P41" i="1"/>
  <c r="O41" i="1"/>
  <c r="O40" i="1" s="1"/>
  <c r="R44" i="1"/>
  <c r="Q44" i="1"/>
  <c r="R42" i="1"/>
  <c r="Q42" i="1"/>
  <c r="P44" i="1"/>
  <c r="P42" i="1"/>
  <c r="S43" i="1"/>
  <c r="R43" i="1"/>
  <c r="O42" i="1"/>
  <c r="O44" i="1"/>
  <c r="Q43" i="1"/>
  <c r="P43" i="1"/>
  <c r="O43" i="1"/>
  <c r="N36" i="1"/>
  <c r="M36" i="1"/>
  <c r="L36" i="1"/>
  <c r="K36" i="1"/>
  <c r="J36" i="1"/>
  <c r="I36" i="1"/>
  <c r="H36" i="1"/>
  <c r="G36" i="1"/>
  <c r="F36" i="1"/>
  <c r="E36" i="1"/>
  <c r="D36" i="1"/>
  <c r="D37" i="1"/>
  <c r="S37" i="1"/>
  <c r="R37" i="1"/>
  <c r="Q37" i="1"/>
  <c r="P37" i="1"/>
  <c r="O37" i="1"/>
  <c r="S34" i="1"/>
  <c r="R34" i="1"/>
  <c r="O34" i="1"/>
  <c r="S30" i="1"/>
  <c r="R30" i="1"/>
  <c r="Q30" i="1"/>
  <c r="P30" i="1"/>
  <c r="O30" i="1"/>
  <c r="P31" i="1"/>
  <c r="O31" i="1"/>
  <c r="S27" i="1"/>
  <c r="R27" i="1"/>
  <c r="Q27" i="1"/>
  <c r="P27" i="1"/>
  <c r="O27" i="1"/>
  <c r="S26" i="1"/>
  <c r="R26" i="1"/>
  <c r="Q26" i="1"/>
  <c r="P26" i="1"/>
  <c r="O26" i="1"/>
  <c r="N23" i="2"/>
  <c r="L23" i="2"/>
  <c r="K23" i="2"/>
  <c r="J23" i="2"/>
  <c r="I23" i="2"/>
  <c r="H23" i="2"/>
  <c r="G23" i="2"/>
  <c r="F23" i="2"/>
  <c r="E23" i="2"/>
  <c r="D23" i="2"/>
  <c r="C23" i="2"/>
  <c r="B23" i="2"/>
  <c r="Q34" i="1"/>
  <c r="P34" i="1"/>
  <c r="S20" i="1"/>
  <c r="S23" i="1" s="1"/>
  <c r="R20" i="1"/>
  <c r="R23" i="1" s="1"/>
  <c r="R21" i="1"/>
  <c r="Q23" i="1"/>
  <c r="P23" i="1"/>
  <c r="Q21" i="1"/>
  <c r="P21" i="1"/>
  <c r="O23" i="1"/>
  <c r="R24" i="1"/>
  <c r="L52" i="1"/>
  <c r="K52" i="1"/>
  <c r="I52" i="1"/>
  <c r="H52" i="1"/>
  <c r="D52" i="1"/>
  <c r="I46" i="1"/>
  <c r="H46" i="1"/>
  <c r="D41" i="1"/>
  <c r="N40" i="1"/>
  <c r="G40" i="1"/>
  <c r="F40" i="1"/>
  <c r="J34" i="1"/>
  <c r="I34" i="1"/>
  <c r="N33" i="1"/>
  <c r="N34" i="1" s="1"/>
  <c r="M33" i="1"/>
  <c r="M34" i="1" s="1"/>
  <c r="L33" i="1"/>
  <c r="L34" i="1" s="1"/>
  <c r="K33" i="1"/>
  <c r="J33" i="1"/>
  <c r="I33" i="1"/>
  <c r="H33" i="1"/>
  <c r="H34" i="1" s="1"/>
  <c r="G33" i="1"/>
  <c r="G34" i="1" s="1"/>
  <c r="F33" i="1"/>
  <c r="F34" i="1" s="1"/>
  <c r="E33" i="1"/>
  <c r="E34" i="1" s="1"/>
  <c r="D33" i="1"/>
  <c r="D34" i="1" s="1"/>
  <c r="G31" i="1"/>
  <c r="N30" i="1"/>
  <c r="N31" i="1" s="1"/>
  <c r="M30" i="1"/>
  <c r="M31" i="1" s="1"/>
  <c r="L30" i="1"/>
  <c r="L31" i="1" s="1"/>
  <c r="K30" i="1"/>
  <c r="K31" i="1" s="1"/>
  <c r="J30" i="1"/>
  <c r="J31" i="1" s="1"/>
  <c r="I30" i="1"/>
  <c r="H30" i="1"/>
  <c r="G30" i="1"/>
  <c r="F30" i="1"/>
  <c r="F31" i="1" s="1"/>
  <c r="E30" i="1"/>
  <c r="E31" i="1" s="1"/>
  <c r="D30" i="1"/>
  <c r="D31" i="1" s="1"/>
  <c r="N26" i="1"/>
  <c r="N52" i="1" s="1"/>
  <c r="M26" i="1"/>
  <c r="M27" i="1" s="1"/>
  <c r="M53" i="1" s="1"/>
  <c r="L26" i="1"/>
  <c r="L27" i="1" s="1"/>
  <c r="L53" i="1" s="1"/>
  <c r="K26" i="1"/>
  <c r="K27" i="1" s="1"/>
  <c r="K53" i="1" s="1"/>
  <c r="J26" i="1"/>
  <c r="J27" i="1" s="1"/>
  <c r="J53" i="1" s="1"/>
  <c r="I26" i="1"/>
  <c r="I27" i="1" s="1"/>
  <c r="I53" i="1" s="1"/>
  <c r="H26" i="1"/>
  <c r="H27" i="1" s="1"/>
  <c r="H53" i="1" s="1"/>
  <c r="G26" i="1"/>
  <c r="G52" i="1" s="1"/>
  <c r="F26" i="1"/>
  <c r="F52" i="1" s="1"/>
  <c r="E26" i="1"/>
  <c r="E27" i="1" s="1"/>
  <c r="E53" i="1" s="1"/>
  <c r="D26" i="1"/>
  <c r="D27" i="1" s="1"/>
  <c r="D53" i="1" s="1"/>
  <c r="N23" i="1"/>
  <c r="N46" i="1" s="1"/>
  <c r="M23" i="1"/>
  <c r="M46" i="1" s="1"/>
  <c r="L23" i="1"/>
  <c r="L46" i="1" s="1"/>
  <c r="K23" i="1"/>
  <c r="K46" i="1" s="1"/>
  <c r="J23" i="1"/>
  <c r="J46" i="1" s="1"/>
  <c r="I23" i="1"/>
  <c r="H23" i="1"/>
  <c r="G23" i="1"/>
  <c r="G46" i="1" s="1"/>
  <c r="F23" i="1"/>
  <c r="F46" i="1" s="1"/>
  <c r="E23" i="1"/>
  <c r="E46" i="1" s="1"/>
  <c r="D23" i="1"/>
  <c r="D46" i="1" s="1"/>
  <c r="N21" i="1"/>
  <c r="N41" i="1" s="1"/>
  <c r="G21" i="1"/>
  <c r="G41" i="1" s="1"/>
  <c r="F21" i="1"/>
  <c r="F41" i="1" s="1"/>
  <c r="N20" i="1"/>
  <c r="O21" i="1" s="1"/>
  <c r="M20" i="1"/>
  <c r="M40" i="1" s="1"/>
  <c r="L20" i="1"/>
  <c r="L40" i="1" s="1"/>
  <c r="K20" i="1"/>
  <c r="K40" i="1" s="1"/>
  <c r="J20" i="1"/>
  <c r="J40" i="1" s="1"/>
  <c r="I20" i="1"/>
  <c r="I40" i="1" s="1"/>
  <c r="H20" i="1"/>
  <c r="H24" i="1" s="1"/>
  <c r="H47" i="1" s="1"/>
  <c r="G20" i="1"/>
  <c r="F20" i="1"/>
  <c r="E20" i="1"/>
  <c r="E40" i="1" s="1"/>
  <c r="D20" i="1"/>
  <c r="D40" i="1" s="1"/>
  <c r="Q29" i="1"/>
  <c r="Q39" i="1" s="1"/>
  <c r="P29" i="1"/>
  <c r="P39" i="1" s="1"/>
  <c r="I29" i="1"/>
  <c r="I39" i="1" s="1"/>
  <c r="H29" i="1"/>
  <c r="H39" i="1" s="1"/>
  <c r="D29" i="1"/>
  <c r="D39" i="1" s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S29" i="1" s="1"/>
  <c r="S39" i="1" s="1"/>
  <c r="O46" i="1" l="1"/>
  <c r="O55" i="1" s="1"/>
  <c r="O66" i="1" s="1"/>
  <c r="O67" i="1" s="1"/>
  <c r="P40" i="1"/>
  <c r="R31" i="1"/>
  <c r="Q31" i="1"/>
  <c r="I24" i="1"/>
  <c r="I47" i="1" s="1"/>
  <c r="H31" i="1"/>
  <c r="F27" i="1"/>
  <c r="F53" i="1" s="1"/>
  <c r="N27" i="1"/>
  <c r="N53" i="1" s="1"/>
  <c r="J29" i="1"/>
  <c r="J39" i="1" s="1"/>
  <c r="R29" i="1"/>
  <c r="R39" i="1" s="1"/>
  <c r="H21" i="1"/>
  <c r="H41" i="1" s="1"/>
  <c r="J24" i="1"/>
  <c r="J47" i="1" s="1"/>
  <c r="I31" i="1"/>
  <c r="K34" i="1"/>
  <c r="H40" i="1"/>
  <c r="J52" i="1"/>
  <c r="G27" i="1"/>
  <c r="G53" i="1" s="1"/>
  <c r="I21" i="1"/>
  <c r="I41" i="1" s="1"/>
  <c r="K24" i="1"/>
  <c r="K47" i="1" s="1"/>
  <c r="L29" i="1"/>
  <c r="L39" i="1" s="1"/>
  <c r="J21" i="1"/>
  <c r="J41" i="1" s="1"/>
  <c r="D24" i="1"/>
  <c r="D47" i="1" s="1"/>
  <c r="L24" i="1"/>
  <c r="L47" i="1" s="1"/>
  <c r="K29" i="1"/>
  <c r="K39" i="1" s="1"/>
  <c r="E29" i="1"/>
  <c r="E39" i="1" s="1"/>
  <c r="M29" i="1"/>
  <c r="M39" i="1" s="1"/>
  <c r="K21" i="1"/>
  <c r="K41" i="1" s="1"/>
  <c r="E24" i="1"/>
  <c r="E47" i="1" s="1"/>
  <c r="M24" i="1"/>
  <c r="M47" i="1" s="1"/>
  <c r="E52" i="1"/>
  <c r="M52" i="1"/>
  <c r="F29" i="1"/>
  <c r="F39" i="1" s="1"/>
  <c r="N29" i="1"/>
  <c r="N39" i="1" s="1"/>
  <c r="L21" i="1"/>
  <c r="L41" i="1" s="1"/>
  <c r="F24" i="1"/>
  <c r="F47" i="1" s="1"/>
  <c r="N24" i="1"/>
  <c r="N47" i="1" s="1"/>
  <c r="G29" i="1"/>
  <c r="G39" i="1" s="1"/>
  <c r="O29" i="1"/>
  <c r="O39" i="1" s="1"/>
  <c r="E21" i="1"/>
  <c r="E41" i="1" s="1"/>
  <c r="M21" i="1"/>
  <c r="M41" i="1" s="1"/>
  <c r="G24" i="1"/>
  <c r="G47" i="1" s="1"/>
  <c r="Q40" i="1" l="1"/>
  <c r="P46" i="1"/>
  <c r="S31" i="1"/>
  <c r="P55" i="1" l="1"/>
  <c r="P66" i="1" s="1"/>
  <c r="P67" i="1" s="1"/>
  <c r="R40" i="1"/>
  <c r="Q46" i="1"/>
  <c r="Q55" i="1" l="1"/>
  <c r="Q66" i="1" s="1"/>
  <c r="Q67" i="1" s="1"/>
  <c r="S40" i="1"/>
  <c r="R46" i="1"/>
  <c r="R55" i="1" l="1"/>
  <c r="R66" i="1" s="1"/>
  <c r="R67" i="1" s="1"/>
  <c r="M9" i="1"/>
  <c r="S46" i="1"/>
  <c r="M10" i="1" l="1"/>
  <c r="S55" i="1"/>
  <c r="S66" i="1" s="1"/>
  <c r="S67" i="1" s="1"/>
  <c r="S69" i="1" l="1"/>
  <c r="S70" i="1" s="1"/>
  <c r="S71" i="1" l="1"/>
  <c r="S74" i="1" s="1"/>
  <c r="S77" i="1" s="1"/>
  <c r="F3" i="1" s="1"/>
  <c r="H4" i="1" s="1"/>
</calcChain>
</file>

<file path=xl/sharedStrings.xml><?xml version="1.0" encoding="utf-8"?>
<sst xmlns="http://schemas.openxmlformats.org/spreadsheetml/2006/main" count="175" uniqueCount="137">
  <si>
    <t>Alphabets Inc</t>
  </si>
  <si>
    <t>Assumptions</t>
  </si>
  <si>
    <t>Income statements</t>
  </si>
  <si>
    <t>Cashflow Statements</t>
  </si>
  <si>
    <t>DCF</t>
  </si>
  <si>
    <t>Ticker</t>
  </si>
  <si>
    <t>Date</t>
  </si>
  <si>
    <t>GOOGl</t>
  </si>
  <si>
    <t>Switches</t>
  </si>
  <si>
    <t>Conservative</t>
  </si>
  <si>
    <t>Street / Base</t>
  </si>
  <si>
    <t>Optimistic</t>
  </si>
  <si>
    <t xml:space="preserve"> </t>
  </si>
  <si>
    <t>Revenue Growth</t>
  </si>
  <si>
    <t>Revenue '24-'25</t>
  </si>
  <si>
    <t>EBIT Margin</t>
  </si>
  <si>
    <t>Revenue 2028</t>
  </si>
  <si>
    <t>EBIT</t>
  </si>
  <si>
    <t>WACC</t>
  </si>
  <si>
    <t>TGR</t>
  </si>
  <si>
    <t>Taxes</t>
  </si>
  <si>
    <t>Valuation Assumptions</t>
  </si>
  <si>
    <t>Annual Data Millions of US $ except per share data</t>
  </si>
  <si>
    <t>Revenue</t>
  </si>
  <si>
    <t>Cost Of Goods Sold</t>
  </si>
  <si>
    <t>Gross Profit</t>
  </si>
  <si>
    <t>Research And Development Expenses</t>
  </si>
  <si>
    <t>SG&amp;A Expenses</t>
  </si>
  <si>
    <t>Other Operating Income Or Expenses</t>
  </si>
  <si>
    <t>Operating Expenses</t>
  </si>
  <si>
    <t>Operating Income</t>
  </si>
  <si>
    <t>Total Non-Operating Income/Expense</t>
  </si>
  <si>
    <t>Pre-Tax Income</t>
  </si>
  <si>
    <t>Income Taxes</t>
  </si>
  <si>
    <t>Income After Taxes Other Income</t>
  </si>
  <si>
    <t>Income From Continuous Operations</t>
  </si>
  <si>
    <t>Income From Discontinued Operations</t>
  </si>
  <si>
    <t>Net Income</t>
  </si>
  <si>
    <t>EBITDA</t>
  </si>
  <si>
    <t>Basic Shares Outstanding</t>
  </si>
  <si>
    <t>Shares Outstanding</t>
  </si>
  <si>
    <t>Basic EPS</t>
  </si>
  <si>
    <t>Cash On Hand</t>
  </si>
  <si>
    <t>Receivables</t>
  </si>
  <si>
    <t>Inventory</t>
  </si>
  <si>
    <t>Pre-Paid Expenses</t>
  </si>
  <si>
    <t>Other Current Assets</t>
  </si>
  <si>
    <t>Total Current Assets</t>
  </si>
  <si>
    <t>Property, Plant, And Equipment</t>
  </si>
  <si>
    <t>Long-Term Investments</t>
  </si>
  <si>
    <t>Goodwill And Intangible Assets</t>
  </si>
  <si>
    <t>Other Long-Term Assets</t>
  </si>
  <si>
    <t>Total Long-Term Assets</t>
  </si>
  <si>
    <t>Total Assets</t>
  </si>
  <si>
    <t>Total Current Liabilities</t>
  </si>
  <si>
    <t>Long Term Debt</t>
  </si>
  <si>
    <t>Other Non-Current Liabilities</t>
  </si>
  <si>
    <t>Total Long Term Liabilities</t>
  </si>
  <si>
    <t>Total Liabilities</t>
  </si>
  <si>
    <t>$55,164 11</t>
  </si>
  <si>
    <t>$25,327 11</t>
  </si>
  <si>
    <t>Common Stock Net</t>
  </si>
  <si>
    <t>Retained Earnings (Accumulated Deficit)</t>
  </si>
  <si>
    <t>Comprehensive Income</t>
  </si>
  <si>
    <t>$256,144 li</t>
  </si>
  <si>
    <t>Total Liabilities And Share Holders Equity</t>
  </si>
  <si>
    <t>Other Share Holders Equity</t>
  </si>
  <si>
    <t xml:space="preserve"> Share Holder Equity</t>
  </si>
  <si>
    <t>Net Income/Loss</t>
  </si>
  <si>
    <t>Total Depreciation And Amortization - Cash Flow</t>
  </si>
  <si>
    <t>Other Non-Cash Items</t>
  </si>
  <si>
    <t>Total Non-Cash Items</t>
  </si>
  <si>
    <t>Change In Accounts Payable</t>
  </si>
  <si>
    <t>Change In Assets/Liabilities</t>
  </si>
  <si>
    <t>Total Change In Assets/Liabilities</t>
  </si>
  <si>
    <t>Cash Flow From Operating Activities</t>
  </si>
  <si>
    <t>Net Change In Property, Plant, And Equipment</t>
  </si>
  <si>
    <t>Net Change In Short-term Investments</t>
  </si>
  <si>
    <t>Net Change In Long-Term Investments</t>
  </si>
  <si>
    <t>Net Change In Investments - Total</t>
  </si>
  <si>
    <t>Investing Activities - Other</t>
  </si>
  <si>
    <t>Cash Flow From Investing Activities</t>
  </si>
  <si>
    <t>Net Long-Term Debt</t>
  </si>
  <si>
    <t>Net Common Equity Issued/Repurchased</t>
  </si>
  <si>
    <t>Net Total Equity Issued/Repurchased</t>
  </si>
  <si>
    <t>$-ıo,162</t>
  </si>
  <si>
    <t>Cash Flow From Financial Activities</t>
  </si>
  <si>
    <t>Net Cash Flow</t>
  </si>
  <si>
    <t>Stock-Based Compensation</t>
  </si>
  <si>
    <t>Change In Accounts Receivable</t>
  </si>
  <si>
    <t xml:space="preserve"> Change In Inventories</t>
  </si>
  <si>
    <t>Net Change In Intangible</t>
  </si>
  <si>
    <t xml:space="preserve"> Assets Net Acquisitions/Divestitures</t>
  </si>
  <si>
    <t>Net Current Debt</t>
  </si>
  <si>
    <t xml:space="preserve"> Debt Issuance/Retirement Net - Total</t>
  </si>
  <si>
    <t>Total Common And Preferred Stock Dividends Paid</t>
  </si>
  <si>
    <t xml:space="preserve"> Financial Activities - Other</t>
  </si>
  <si>
    <t xml:space="preserve">%growth </t>
  </si>
  <si>
    <t>%of sales</t>
  </si>
  <si>
    <t>D&amp;A</t>
  </si>
  <si>
    <t>CapEx</t>
  </si>
  <si>
    <t>Change in WC</t>
  </si>
  <si>
    <t>% growth</t>
  </si>
  <si>
    <t>Conservative Case</t>
  </si>
  <si>
    <t>Street Case</t>
  </si>
  <si>
    <t>Optimistic Case</t>
  </si>
  <si>
    <t>% of sales</t>
  </si>
  <si>
    <t>% of EBIT</t>
  </si>
  <si>
    <t>EBIAT</t>
  </si>
  <si>
    <t>Change in NWC</t>
  </si>
  <si>
    <t>Unlevered FCF</t>
  </si>
  <si>
    <t>Present Value of FCF</t>
  </si>
  <si>
    <t>--</t>
  </si>
  <si>
    <t>%of EBIT</t>
  </si>
  <si>
    <t>Working Capital</t>
  </si>
  <si>
    <t>x</t>
  </si>
  <si>
    <t>WACC =  (% Equity x Cost of Equity) + (% Debt x Cost of Debt x (1 -Tax rate))</t>
  </si>
  <si>
    <t>Cost of Equity = Risk Free Rate + (Beta x (Expected Market Return - Risk Free Rate))</t>
  </si>
  <si>
    <t>Debt</t>
  </si>
  <si>
    <t>% Debt</t>
  </si>
  <si>
    <t>Cost of Debt</t>
  </si>
  <si>
    <t>Tax Rate</t>
  </si>
  <si>
    <t>Equity Value</t>
  </si>
  <si>
    <t>% Equity</t>
  </si>
  <si>
    <t>Cost of Equity</t>
  </si>
  <si>
    <t>Risk Free Rate</t>
  </si>
  <si>
    <t>Beta</t>
  </si>
  <si>
    <t>Market Risk Premium</t>
  </si>
  <si>
    <t>Debt + Equity</t>
  </si>
  <si>
    <t>Teminal Value</t>
  </si>
  <si>
    <t xml:space="preserve">Present Terminal Value </t>
  </si>
  <si>
    <t>Enterprise Value</t>
  </si>
  <si>
    <t>(+)Cash</t>
  </si>
  <si>
    <t>(-)Debt</t>
  </si>
  <si>
    <t>Implied Share Price</t>
  </si>
  <si>
    <t>Terminal</t>
  </si>
  <si>
    <t>Overvalued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</si>
</sst>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&quot;$&quot;#,##0.00"/>
    <numFmt numFmtId="168" formatCode="&quot;$&quot;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u/>
      <sz val="11"/>
      <color theme="1"/>
      <name val="Aptos Display"/>
      <family val="2"/>
      <scheme val="maj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9" tint="0.39997558519241921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0" xfId="0" applyFill="1"/>
    <xf numFmtId="164" fontId="0" fillId="3" borderId="2" xfId="0" applyNumberFormat="1" applyFill="1" applyBorder="1"/>
    <xf numFmtId="8" fontId="0" fillId="3" borderId="2" xfId="0" applyNumberFormat="1" applyFill="1" applyBorder="1"/>
    <xf numFmtId="10" fontId="0" fillId="3" borderId="2" xfId="0" applyNumberFormat="1" applyFill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4" borderId="0" xfId="0" applyFont="1" applyFill="1" applyAlignment="1">
      <alignment horizontal="center" wrapText="1"/>
    </xf>
    <xf numFmtId="165" fontId="3" fillId="5" borderId="2" xfId="0" applyNumberFormat="1" applyFont="1" applyFill="1" applyBorder="1" applyAlignment="1">
      <alignment horizontal="center"/>
    </xf>
    <xf numFmtId="166" fontId="3" fillId="5" borderId="2" xfId="1" applyNumberFormat="1" applyFont="1" applyFill="1" applyBorder="1" applyAlignment="1">
      <alignment horizontal="center"/>
    </xf>
    <xf numFmtId="10" fontId="3" fillId="5" borderId="2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10" fontId="3" fillId="4" borderId="0" xfId="0" applyNumberFormat="1" applyFont="1" applyFill="1" applyAlignment="1">
      <alignment wrapText="1"/>
    </xf>
    <xf numFmtId="0" fontId="5" fillId="0" borderId="0" xfId="0" applyFont="1"/>
    <xf numFmtId="6" fontId="0" fillId="0" borderId="0" xfId="0" applyNumberFormat="1"/>
    <xf numFmtId="3" fontId="0" fillId="0" borderId="0" xfId="0" applyNumberFormat="1"/>
    <xf numFmtId="8" fontId="0" fillId="0" borderId="0" xfId="0" applyNumberFormat="1"/>
    <xf numFmtId="0" fontId="0" fillId="6" borderId="0" xfId="0" applyFill="1" applyAlignment="1">
      <alignment vertical="center"/>
    </xf>
    <xf numFmtId="0" fontId="0" fillId="6" borderId="0" xfId="0" applyFill="1"/>
    <xf numFmtId="14" fontId="0" fillId="6" borderId="0" xfId="0" applyNumberFormat="1" applyFill="1"/>
    <xf numFmtId="9" fontId="8" fillId="0" borderId="0" xfId="0" applyNumberFormat="1" applyFont="1"/>
    <xf numFmtId="10" fontId="0" fillId="0" borderId="0" xfId="0" applyNumberFormat="1"/>
    <xf numFmtId="9" fontId="0" fillId="0" borderId="0" xfId="0" applyNumberFormat="1"/>
    <xf numFmtId="164" fontId="0" fillId="0" borderId="0" xfId="0" applyNumberFormat="1"/>
    <xf numFmtId="0" fontId="0" fillId="0" borderId="6" xfId="0" applyBorder="1"/>
    <xf numFmtId="0" fontId="0" fillId="0" borderId="5" xfId="0" applyBorder="1"/>
    <xf numFmtId="0" fontId="0" fillId="2" borderId="5" xfId="0" applyFill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10" fontId="0" fillId="0" borderId="0" xfId="0" quotePrefix="1" applyNumberFormat="1"/>
    <xf numFmtId="10" fontId="0" fillId="0" borderId="5" xfId="0" applyNumberFormat="1" applyBorder="1"/>
    <xf numFmtId="6" fontId="0" fillId="0" borderId="5" xfId="0" applyNumberFormat="1" applyBorder="1"/>
    <xf numFmtId="6" fontId="9" fillId="0" borderId="0" xfId="0" applyNumberFormat="1" applyFont="1"/>
    <xf numFmtId="6" fontId="9" fillId="0" borderId="5" xfId="0" applyNumberFormat="1" applyFont="1" applyBorder="1"/>
    <xf numFmtId="6" fontId="10" fillId="0" borderId="0" xfId="0" applyNumberFormat="1" applyFont="1"/>
    <xf numFmtId="6" fontId="10" fillId="0" borderId="5" xfId="0" applyNumberFormat="1" applyFont="1" applyBorder="1"/>
    <xf numFmtId="6" fontId="7" fillId="0" borderId="0" xfId="0" applyNumberFormat="1" applyFont="1"/>
    <xf numFmtId="168" fontId="7" fillId="0" borderId="0" xfId="0" applyNumberFormat="1" applyFont="1"/>
    <xf numFmtId="8" fontId="7" fillId="0" borderId="0" xfId="0" applyNumberFormat="1" applyFont="1"/>
    <xf numFmtId="10" fontId="0" fillId="5" borderId="2" xfId="0" applyNumberFormat="1" applyFill="1" applyBorder="1"/>
    <xf numFmtId="10" fontId="0" fillId="5" borderId="12" xfId="0" applyNumberFormat="1" applyFill="1" applyBorder="1"/>
    <xf numFmtId="10" fontId="0" fillId="5" borderId="11" xfId="0" applyNumberFormat="1" applyFill="1" applyBorder="1"/>
    <xf numFmtId="10" fontId="0" fillId="5" borderId="9" xfId="0" applyNumberFormat="1" applyFill="1" applyBorder="1"/>
    <xf numFmtId="10" fontId="0" fillId="5" borderId="10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6" fontId="3" fillId="5" borderId="2" xfId="1" applyNumberFormat="1" applyFont="1" applyFill="1" applyBorder="1" applyAlignment="1">
      <alignment horizontal="center"/>
    </xf>
    <xf numFmtId="10" fontId="0" fillId="5" borderId="13" xfId="0" applyNumberFormat="1" applyFill="1" applyBorder="1"/>
    <xf numFmtId="168" fontId="2" fillId="0" borderId="14" xfId="0" applyNumberFormat="1" applyFont="1" applyBorder="1"/>
    <xf numFmtId="168" fontId="2" fillId="0" borderId="15" xfId="0" applyNumberFormat="1" applyFont="1" applyBorder="1"/>
    <xf numFmtId="168" fontId="2" fillId="0" borderId="0" xfId="0" applyNumberFormat="1" applyFont="1"/>
    <xf numFmtId="0" fontId="0" fillId="0" borderId="4" xfId="0" applyBorder="1"/>
    <xf numFmtId="0" fontId="0" fillId="3" borderId="13" xfId="0" applyFill="1" applyBorder="1"/>
    <xf numFmtId="14" fontId="0" fillId="3" borderId="13" xfId="0" applyNumberFormat="1" applyFill="1" applyBorder="1"/>
    <xf numFmtId="0" fontId="2" fillId="0" borderId="16" xfId="0" applyFont="1" applyBorder="1"/>
    <xf numFmtId="1" fontId="2" fillId="0" borderId="1" xfId="2" applyNumberFormat="1" applyFont="1" applyBorder="1"/>
    <xf numFmtId="168" fontId="2" fillId="0" borderId="5" xfId="0" applyNumberFormat="1" applyFont="1" applyBorder="1"/>
    <xf numFmtId="6" fontId="7" fillId="0" borderId="5" xfId="0" applyNumberFormat="1" applyFont="1" applyBorder="1"/>
    <xf numFmtId="8" fontId="7" fillId="0" borderId="5" xfId="0" applyNumberFormat="1" applyFont="1" applyBorder="1"/>
    <xf numFmtId="168" fontId="7" fillId="0" borderId="5" xfId="0" applyNumberFormat="1" applyFont="1" applyBorder="1"/>
    <xf numFmtId="10" fontId="0" fillId="5" borderId="18" xfId="0" applyNumberFormat="1" applyFill="1" applyBorder="1"/>
    <xf numFmtId="10" fontId="0" fillId="5" borderId="19" xfId="0" applyNumberFormat="1" applyFill="1" applyBorder="1"/>
    <xf numFmtId="10" fontId="0" fillId="5" borderId="20" xfId="0" applyNumberFormat="1" applyFill="1" applyBorder="1"/>
    <xf numFmtId="8" fontId="0" fillId="0" borderId="5" xfId="0" applyNumberFormat="1" applyBorder="1"/>
    <xf numFmtId="10" fontId="0" fillId="5" borderId="21" xfId="0" applyNumberFormat="1" applyFill="1" applyBorder="1"/>
    <xf numFmtId="0" fontId="2" fillId="0" borderId="5" xfId="0" applyFont="1" applyBorder="1"/>
    <xf numFmtId="0" fontId="2" fillId="0" borderId="17" xfId="0" applyFont="1" applyBorder="1"/>
    <xf numFmtId="168" fontId="2" fillId="0" borderId="16" xfId="0" applyNumberFormat="1" applyFont="1" applyBorder="1"/>
    <xf numFmtId="168" fontId="2" fillId="0" borderId="17" xfId="0" applyNumberFormat="1" applyFont="1" applyBorder="1"/>
    <xf numFmtId="0" fontId="2" fillId="0" borderId="0" xfId="0" applyFont="1"/>
    <xf numFmtId="0" fontId="11" fillId="0" borderId="1" xfId="0" applyFont="1" applyBorder="1"/>
    <xf numFmtId="0" fontId="6" fillId="7" borderId="0" xfId="0" applyFont="1" applyFill="1"/>
    <xf numFmtId="0" fontId="0" fillId="7" borderId="0" xfId="0" applyFill="1"/>
    <xf numFmtId="164" fontId="0" fillId="5" borderId="22" xfId="0" applyNumberFormat="1" applyFill="1" applyBorder="1" applyAlignment="1">
      <alignment horizontal="right"/>
    </xf>
    <xf numFmtId="165" fontId="0" fillId="5" borderId="22" xfId="0" applyNumberFormat="1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0" fontId="2" fillId="8" borderId="3" xfId="0" applyFont="1" applyFill="1" applyBorder="1"/>
    <xf numFmtId="0" fontId="0" fillId="8" borderId="14" xfId="0" applyFill="1" applyBorder="1"/>
    <xf numFmtId="10" fontId="2" fillId="8" borderId="15" xfId="0" applyNumberFormat="1" applyFont="1" applyFill="1" applyBorder="1"/>
    <xf numFmtId="168" fontId="0" fillId="5" borderId="22" xfId="0" applyNumberFormat="1" applyFill="1" applyBorder="1" applyAlignment="1">
      <alignment horizontal="right"/>
    </xf>
    <xf numFmtId="167" fontId="0" fillId="0" borderId="1" xfId="0" applyNumberFormat="1" applyBorder="1"/>
    <xf numFmtId="168" fontId="2" fillId="0" borderId="6" xfId="0" applyNumberFormat="1" applyFont="1" applyBorder="1"/>
    <xf numFmtId="6" fontId="2" fillId="0" borderId="5" xfId="0" applyNumberFormat="1" applyFont="1" applyBorder="1"/>
    <xf numFmtId="167" fontId="12" fillId="0" borderId="6" xfId="0" applyNumberFormat="1" applyFont="1" applyBorder="1"/>
    <xf numFmtId="3" fontId="2" fillId="0" borderId="6" xfId="0" applyNumberFormat="1" applyFont="1" applyBorder="1"/>
    <xf numFmtId="0" fontId="2" fillId="2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CE5E-962C-41DC-8B42-9506D3DCB283}">
  <dimension ref="A1:T77"/>
  <sheetViews>
    <sheetView showGridLines="0" tabSelected="1" topLeftCell="A14" zoomScale="72" zoomScaleNormal="80" workbookViewId="0">
      <selection activeCell="B30" sqref="B30:B37"/>
    </sheetView>
  </sheetViews>
  <sheetFormatPr defaultRowHeight="14.75" x14ac:dyDescent="0.75"/>
  <cols>
    <col min="1" max="1" width="8.7265625" style="27"/>
    <col min="2" max="2" width="20.36328125" bestFit="1" customWidth="1"/>
    <col min="4" max="4" width="9.26953125" bestFit="1" customWidth="1"/>
    <col min="5" max="5" width="11.7265625" bestFit="1" customWidth="1"/>
    <col min="6" max="13" width="9.26953125" bestFit="1" customWidth="1"/>
    <col min="14" max="14" width="9.26953125" style="27" bestFit="1" customWidth="1"/>
    <col min="15" max="15" width="13.81640625" bestFit="1" customWidth="1"/>
    <col min="16" max="18" width="11.58984375" bestFit="1" customWidth="1"/>
    <col min="19" max="19" width="14.08984375" style="27" bestFit="1" customWidth="1"/>
  </cols>
  <sheetData>
    <row r="1" spans="1:19" s="1" customFormat="1" x14ac:dyDescent="0.75">
      <c r="A1" s="26"/>
      <c r="B1" s="2" t="s">
        <v>0</v>
      </c>
      <c r="N1" s="26"/>
      <c r="S1" s="26"/>
    </row>
    <row r="3" spans="1:19" x14ac:dyDescent="0.75">
      <c r="A3" s="27" t="s">
        <v>5</v>
      </c>
      <c r="B3" s="54" t="s">
        <v>7</v>
      </c>
      <c r="F3" s="4">
        <f ca="1">S77</f>
        <v>159.63490031421125</v>
      </c>
    </row>
    <row r="4" spans="1:19" x14ac:dyDescent="0.75">
      <c r="A4" s="27" t="s">
        <v>6</v>
      </c>
      <c r="B4" s="55">
        <v>45429</v>
      </c>
      <c r="F4" s="5">
        <v>175.93</v>
      </c>
      <c r="H4" s="6">
        <f ca="1">(F3-F4)/F4</f>
        <v>-9.2622632216158449E-2</v>
      </c>
      <c r="I4" s="71" t="s">
        <v>136</v>
      </c>
    </row>
    <row r="6" spans="1:19" s="3" customFormat="1" x14ac:dyDescent="0.75">
      <c r="A6" s="28"/>
      <c r="B6" s="3" t="s">
        <v>1</v>
      </c>
      <c r="N6" s="28"/>
      <c r="S6" s="28"/>
    </row>
    <row r="8" spans="1:19" x14ac:dyDescent="0.75">
      <c r="B8" s="13" t="s">
        <v>8</v>
      </c>
      <c r="C8" s="7"/>
      <c r="D8" s="7"/>
      <c r="E8" s="7"/>
      <c r="F8" s="8"/>
      <c r="G8" s="15" t="s">
        <v>9</v>
      </c>
      <c r="H8" s="8"/>
      <c r="I8" s="8"/>
      <c r="J8" s="8"/>
      <c r="K8" s="15" t="s">
        <v>10</v>
      </c>
      <c r="L8" s="8"/>
      <c r="M8" s="8"/>
      <c r="N8" s="29"/>
      <c r="O8" s="15" t="s">
        <v>11</v>
      </c>
      <c r="P8" s="8" t="s">
        <v>12</v>
      </c>
      <c r="Q8" s="8"/>
    </row>
    <row r="9" spans="1:19" x14ac:dyDescent="0.75">
      <c r="B9" s="7" t="s">
        <v>13</v>
      </c>
      <c r="C9" s="7"/>
      <c r="D9" s="9">
        <v>2</v>
      </c>
      <c r="E9" s="7"/>
      <c r="F9" s="8"/>
      <c r="G9" s="8" t="s">
        <v>14</v>
      </c>
      <c r="H9" s="8"/>
      <c r="I9" s="10">
        <v>0.85</v>
      </c>
      <c r="J9" s="8"/>
      <c r="K9" s="8" t="s">
        <v>16</v>
      </c>
      <c r="L9" s="8"/>
      <c r="M9" s="48">
        <f ca="1">S40</f>
        <v>524568.68764212565</v>
      </c>
      <c r="N9" s="29"/>
      <c r="O9" s="8" t="s">
        <v>14</v>
      </c>
      <c r="P9" s="8"/>
      <c r="Q9" s="10">
        <v>1</v>
      </c>
    </row>
    <row r="10" spans="1:19" x14ac:dyDescent="0.75">
      <c r="B10" s="7" t="s">
        <v>15</v>
      </c>
      <c r="C10" s="7"/>
      <c r="D10" s="9">
        <v>2</v>
      </c>
      <c r="E10" s="7"/>
      <c r="F10" s="8"/>
      <c r="G10" s="8" t="s">
        <v>16</v>
      </c>
      <c r="H10" s="8"/>
      <c r="I10" s="10">
        <v>9.7000000000000003E-2</v>
      </c>
      <c r="J10" s="8"/>
      <c r="K10" s="8" t="s">
        <v>17</v>
      </c>
      <c r="L10" s="8"/>
      <c r="M10" s="11">
        <f ca="1">S46</f>
        <v>183599.04067474397</v>
      </c>
      <c r="N10" s="29"/>
      <c r="O10" s="8" t="s">
        <v>16</v>
      </c>
      <c r="P10" s="8"/>
      <c r="Q10" s="10">
        <v>0.12</v>
      </c>
    </row>
    <row r="11" spans="1:19" x14ac:dyDescent="0.75">
      <c r="B11" s="7"/>
      <c r="C11" s="7"/>
      <c r="D11" s="7"/>
      <c r="E11" s="7"/>
      <c r="F11" s="8"/>
      <c r="G11" s="8"/>
      <c r="H11" s="8"/>
      <c r="I11" s="8"/>
      <c r="J11" s="8"/>
      <c r="N11" s="29"/>
      <c r="O11" s="8"/>
      <c r="P11" s="8"/>
      <c r="Q11" s="8"/>
    </row>
    <row r="12" spans="1:19" x14ac:dyDescent="0.75">
      <c r="B12" s="7" t="s">
        <v>18</v>
      </c>
      <c r="C12" s="7"/>
      <c r="D12" s="9">
        <v>2</v>
      </c>
      <c r="E12" s="7"/>
      <c r="F12" s="8"/>
      <c r="G12" s="8"/>
      <c r="H12" s="8"/>
      <c r="I12" s="8"/>
      <c r="J12" s="8"/>
      <c r="K12" s="8"/>
      <c r="L12" s="8"/>
      <c r="M12" s="8"/>
      <c r="N12" s="29"/>
      <c r="O12" s="8"/>
      <c r="P12" s="8"/>
      <c r="Q12" s="8"/>
    </row>
    <row r="13" spans="1:19" x14ac:dyDescent="0.75">
      <c r="B13" s="7" t="s">
        <v>19</v>
      </c>
      <c r="C13" s="7"/>
      <c r="D13" s="9">
        <v>3</v>
      </c>
      <c r="E13" s="7"/>
      <c r="F13" s="8"/>
      <c r="G13" s="8"/>
      <c r="H13" s="8"/>
      <c r="I13" s="8"/>
      <c r="J13" s="8"/>
      <c r="K13" s="8" t="s">
        <v>20</v>
      </c>
      <c r="L13" s="8"/>
      <c r="M13" s="10">
        <f>'Income Statements'!N23</f>
        <v>4.2286770273232563E-2</v>
      </c>
      <c r="N13" s="29"/>
      <c r="O13" s="8"/>
      <c r="P13" s="8"/>
      <c r="Q13" s="8"/>
    </row>
    <row r="14" spans="1:19" x14ac:dyDescent="0.75">
      <c r="B14" s="7"/>
      <c r="C14" s="7"/>
      <c r="D14" s="7"/>
      <c r="E14" s="7"/>
      <c r="F14" s="8"/>
      <c r="G14" s="8" t="s">
        <v>18</v>
      </c>
      <c r="H14" s="8"/>
      <c r="I14" s="12">
        <v>9.0999999999999998E-2</v>
      </c>
      <c r="J14" s="8"/>
      <c r="K14" s="8" t="s">
        <v>18</v>
      </c>
      <c r="L14" s="8"/>
      <c r="M14" s="10">
        <f>wacc!D21</f>
        <v>0.08</v>
      </c>
      <c r="N14" s="29"/>
      <c r="O14" s="8" t="s">
        <v>18</v>
      </c>
      <c r="P14" s="8"/>
      <c r="Q14" s="10">
        <v>7.6999999999999999E-2</v>
      </c>
    </row>
    <row r="15" spans="1:19" x14ac:dyDescent="0.75">
      <c r="B15" s="13" t="s">
        <v>21</v>
      </c>
      <c r="C15" s="7"/>
      <c r="D15" s="7"/>
      <c r="E15" s="7"/>
      <c r="F15" s="8"/>
      <c r="G15" s="8" t="s">
        <v>19</v>
      </c>
      <c r="H15" s="8"/>
      <c r="I15" s="10">
        <v>0.02</v>
      </c>
      <c r="J15" s="8"/>
      <c r="K15" s="8" t="s">
        <v>19</v>
      </c>
      <c r="L15" s="8"/>
      <c r="M15" s="10">
        <v>2.5000000000000001E-2</v>
      </c>
      <c r="N15" s="29"/>
      <c r="O15" s="8" t="s">
        <v>19</v>
      </c>
      <c r="P15" s="8"/>
      <c r="Q15" s="12">
        <v>0.03</v>
      </c>
    </row>
    <row r="16" spans="1:19" x14ac:dyDescent="0.75">
      <c r="B16" s="7" t="s">
        <v>18</v>
      </c>
      <c r="C16" s="7"/>
      <c r="D16" s="14">
        <f>CHOOSE(D12,I14,M14,Q14)</f>
        <v>0.08</v>
      </c>
      <c r="E16" s="7"/>
      <c r="F16" s="7"/>
      <c r="G16" s="7"/>
      <c r="H16" s="7"/>
      <c r="I16" s="7"/>
      <c r="J16" s="7"/>
      <c r="K16" s="7"/>
      <c r="L16" s="7"/>
      <c r="M16" s="7"/>
      <c r="N16" s="30"/>
      <c r="O16" s="7"/>
      <c r="P16" s="8"/>
      <c r="Q16" s="8"/>
    </row>
    <row r="17" spans="1:19" x14ac:dyDescent="0.75">
      <c r="B17" s="7" t="s">
        <v>19</v>
      </c>
      <c r="C17" s="7"/>
      <c r="D17" s="14">
        <f>CHOOSE(D13,I15,M15,Q15)</f>
        <v>0.03</v>
      </c>
      <c r="E17" s="7"/>
      <c r="F17" s="7"/>
      <c r="G17" s="7"/>
      <c r="H17" s="7"/>
      <c r="I17" s="7"/>
      <c r="J17" s="7"/>
      <c r="K17" s="7"/>
      <c r="L17" s="7"/>
      <c r="M17" s="7"/>
      <c r="N17" s="30"/>
      <c r="O17" s="7"/>
      <c r="P17" s="8"/>
      <c r="Q17" s="8"/>
    </row>
    <row r="19" spans="1:19" s="3" customFormat="1" x14ac:dyDescent="0.75">
      <c r="A19" s="28"/>
      <c r="B19" s="3" t="s">
        <v>2</v>
      </c>
      <c r="D19" s="3">
        <v>2013</v>
      </c>
      <c r="E19" s="3">
        <f>D19+1</f>
        <v>2014</v>
      </c>
      <c r="F19" s="3">
        <f t="shared" ref="F19:S19" si="0">E19+1</f>
        <v>2015</v>
      </c>
      <c r="G19" s="3">
        <f t="shared" si="0"/>
        <v>2016</v>
      </c>
      <c r="H19" s="3">
        <f t="shared" si="0"/>
        <v>2017</v>
      </c>
      <c r="I19" s="3">
        <f t="shared" si="0"/>
        <v>2018</v>
      </c>
      <c r="J19" s="3">
        <f t="shared" si="0"/>
        <v>2019</v>
      </c>
      <c r="K19" s="3">
        <f t="shared" si="0"/>
        <v>2020</v>
      </c>
      <c r="L19" s="3">
        <f t="shared" si="0"/>
        <v>2021</v>
      </c>
      <c r="M19" s="3">
        <f t="shared" si="0"/>
        <v>2022</v>
      </c>
      <c r="N19" s="28">
        <f t="shared" si="0"/>
        <v>2023</v>
      </c>
      <c r="O19" s="3">
        <f t="shared" si="0"/>
        <v>2024</v>
      </c>
      <c r="P19" s="3">
        <f t="shared" si="0"/>
        <v>2025</v>
      </c>
      <c r="Q19" s="3">
        <f t="shared" si="0"/>
        <v>2026</v>
      </c>
      <c r="R19" s="3">
        <f t="shared" si="0"/>
        <v>2027</v>
      </c>
      <c r="S19" s="28">
        <f t="shared" si="0"/>
        <v>2028</v>
      </c>
    </row>
    <row r="20" spans="1:19" x14ac:dyDescent="0.75">
      <c r="B20" t="s">
        <v>23</v>
      </c>
      <c r="D20" s="34">
        <f>'Income Statements'!B2</f>
        <v>55519</v>
      </c>
      <c r="E20" s="34">
        <f>'Income Statements'!C2</f>
        <v>66001</v>
      </c>
      <c r="F20" s="34">
        <f>'Income Statements'!D2</f>
        <v>74989</v>
      </c>
      <c r="G20" s="34">
        <f>'Income Statements'!E2</f>
        <v>90272</v>
      </c>
      <c r="H20" s="34">
        <f>'Income Statements'!F2</f>
        <v>110855</v>
      </c>
      <c r="I20" s="34">
        <f>'Income Statements'!G2</f>
        <v>136819</v>
      </c>
      <c r="J20" s="34">
        <f>'Income Statements'!H2</f>
        <v>161857</v>
      </c>
      <c r="K20" s="34">
        <f>'Income Statements'!I2</f>
        <v>182527</v>
      </c>
      <c r="L20" s="34">
        <f>'Income Statements'!J2</f>
        <v>257637</v>
      </c>
      <c r="M20" s="34">
        <f>'Income Statements'!K2</f>
        <v>282836</v>
      </c>
      <c r="N20" s="35">
        <f>'Income Statements'!L2</f>
        <v>307394</v>
      </c>
      <c r="O20" s="38">
        <v>346516</v>
      </c>
      <c r="P20" s="38">
        <v>384564</v>
      </c>
      <c r="Q20" s="38">
        <v>424605</v>
      </c>
      <c r="R20" s="38">
        <f>Q20*(1+R21)</f>
        <v>468364.8996804693</v>
      </c>
      <c r="S20" s="59">
        <f t="shared" ref="S20" si="1">R20*(1+S21)</f>
        <v>516138.11944787722</v>
      </c>
    </row>
    <row r="21" spans="1:19" s="23" customFormat="1" x14ac:dyDescent="0.75">
      <c r="A21" s="32"/>
      <c r="B21" s="23" t="s">
        <v>97</v>
      </c>
      <c r="D21" s="31" t="s">
        <v>112</v>
      </c>
      <c r="E21" s="23">
        <f>(E20-D20)/D20</f>
        <v>0.18880023055170303</v>
      </c>
      <c r="F21" s="23">
        <f t="shared" ref="F21:N21" si="2">(F20-E20)/E20</f>
        <v>0.13617975485219921</v>
      </c>
      <c r="G21" s="23">
        <f t="shared" si="2"/>
        <v>0.20380322447292271</v>
      </c>
      <c r="H21" s="23">
        <f t="shared" si="2"/>
        <v>0.22801090038993266</v>
      </c>
      <c r="I21" s="23">
        <f t="shared" si="2"/>
        <v>0.23421586757475982</v>
      </c>
      <c r="J21" s="23">
        <f t="shared" si="2"/>
        <v>0.18300089899794619</v>
      </c>
      <c r="K21" s="23">
        <f t="shared" si="2"/>
        <v>0.12770532012826136</v>
      </c>
      <c r="L21" s="23">
        <f t="shared" si="2"/>
        <v>0.41150076427049148</v>
      </c>
      <c r="M21" s="23">
        <f t="shared" si="2"/>
        <v>9.7808156437157706E-2</v>
      </c>
      <c r="N21" s="32">
        <f t="shared" si="2"/>
        <v>8.6827702272695137E-2</v>
      </c>
      <c r="O21" s="23">
        <f>(O20-N20)/N20</f>
        <v>0.12726988815656778</v>
      </c>
      <c r="P21" s="23">
        <f>(P20-O20)/O20</f>
        <v>0.10980156760438191</v>
      </c>
      <c r="Q21" s="23">
        <f>(Q20-P20)/P20</f>
        <v>0.10412051050020282</v>
      </c>
      <c r="R21" s="23">
        <f>AVERAGE(S21,Q21)</f>
        <v>0.1030602552501014</v>
      </c>
      <c r="S21" s="32">
        <v>0.10199999999999999</v>
      </c>
    </row>
    <row r="23" spans="1:19" s="16" customFormat="1" x14ac:dyDescent="0.75">
      <c r="A23" s="33"/>
      <c r="B23" s="16" t="s">
        <v>17</v>
      </c>
      <c r="D23" s="34">
        <f>'Income Statements'!B9</f>
        <v>15403</v>
      </c>
      <c r="E23" s="34">
        <f>'Income Statements'!C9</f>
        <v>16496</v>
      </c>
      <c r="F23" s="34">
        <f>'Income Statements'!D9</f>
        <v>19360</v>
      </c>
      <c r="G23" s="34">
        <f>'Income Statements'!E9</f>
        <v>23716</v>
      </c>
      <c r="H23" s="34">
        <f>'Income Statements'!F9</f>
        <v>26178</v>
      </c>
      <c r="I23" s="34">
        <f>'Income Statements'!G9</f>
        <v>27524</v>
      </c>
      <c r="J23" s="34">
        <f>'Income Statements'!H9</f>
        <v>34231</v>
      </c>
      <c r="K23" s="34">
        <f>'Income Statements'!I9</f>
        <v>41224</v>
      </c>
      <c r="L23" s="34">
        <f>'Income Statements'!J9</f>
        <v>78714</v>
      </c>
      <c r="M23" s="34">
        <f>'Income Statements'!K9</f>
        <v>74842</v>
      </c>
      <c r="N23" s="35">
        <f>'Income Statements'!L9</f>
        <v>84293</v>
      </c>
      <c r="O23" s="38">
        <f>O24*O20</f>
        <v>106345.7604</v>
      </c>
      <c r="P23" s="38">
        <f t="shared" ref="P23:S23" si="3">P24*P20</f>
        <v>121868.3316</v>
      </c>
      <c r="Q23" s="38">
        <f t="shared" si="3"/>
        <v>138845.83499999999</v>
      </c>
      <c r="R23" s="38">
        <f t="shared" si="3"/>
        <v>154794.5993443951</v>
      </c>
      <c r="S23" s="59">
        <f t="shared" si="3"/>
        <v>172390.13189559101</v>
      </c>
    </row>
    <row r="24" spans="1:19" s="23" customFormat="1" x14ac:dyDescent="0.75">
      <c r="A24" s="32"/>
      <c r="B24" s="23" t="s">
        <v>98</v>
      </c>
      <c r="D24" s="23">
        <f>D23/D20</f>
        <v>0.27743655325203986</v>
      </c>
      <c r="E24" s="23">
        <f t="shared" ref="E24:N24" si="4">E23/E20</f>
        <v>0.24993560703625703</v>
      </c>
      <c r="F24" s="23">
        <f t="shared" si="4"/>
        <v>0.25817119844243824</v>
      </c>
      <c r="G24" s="23">
        <f t="shared" si="4"/>
        <v>0.26271712158808935</v>
      </c>
      <c r="H24" s="23">
        <f t="shared" si="4"/>
        <v>0.23614631726128726</v>
      </c>
      <c r="I24" s="23">
        <f t="shared" si="4"/>
        <v>0.20117089000796673</v>
      </c>
      <c r="J24" s="23">
        <f t="shared" si="4"/>
        <v>0.21148915400631421</v>
      </c>
      <c r="K24" s="23">
        <f t="shared" si="4"/>
        <v>0.22585151785763202</v>
      </c>
      <c r="L24" s="23">
        <f t="shared" si="4"/>
        <v>0.3055228868524319</v>
      </c>
      <c r="M24" s="23">
        <f t="shared" si="4"/>
        <v>0.26461270842467011</v>
      </c>
      <c r="N24" s="32">
        <f t="shared" si="4"/>
        <v>0.27421810445226646</v>
      </c>
      <c r="O24" s="23">
        <v>0.30690000000000001</v>
      </c>
      <c r="P24" s="23">
        <v>0.31690000000000002</v>
      </c>
      <c r="Q24" s="23">
        <v>0.32700000000000001</v>
      </c>
      <c r="R24" s="23">
        <f>AVERAGE(S24,Q24)</f>
        <v>0.33050000000000002</v>
      </c>
      <c r="S24" s="32">
        <v>0.33400000000000002</v>
      </c>
    </row>
    <row r="26" spans="1:19" x14ac:dyDescent="0.75">
      <c r="B26" t="s">
        <v>20</v>
      </c>
      <c r="D26" s="34">
        <f>'Income Statements'!B12</f>
        <v>2739</v>
      </c>
      <c r="E26" s="34">
        <f>'Income Statements'!C12</f>
        <v>3639</v>
      </c>
      <c r="F26" s="34">
        <f>'Income Statements'!D12</f>
        <v>3303</v>
      </c>
      <c r="G26" s="34">
        <f>'Income Statements'!E12</f>
        <v>4672</v>
      </c>
      <c r="H26" s="34">
        <f>'Income Statements'!F12</f>
        <v>14531</v>
      </c>
      <c r="I26" s="34">
        <f>'Income Statements'!G12</f>
        <v>4177</v>
      </c>
      <c r="J26" s="34">
        <f>'Income Statements'!H12</f>
        <v>5282</v>
      </c>
      <c r="K26" s="34">
        <f>'Income Statements'!I12</f>
        <v>7813</v>
      </c>
      <c r="L26" s="34">
        <f>'Income Statements'!J12</f>
        <v>14701</v>
      </c>
      <c r="M26" s="34">
        <f>'Income Statements'!K12</f>
        <v>11356</v>
      </c>
      <c r="N26" s="35">
        <f>'Income Statements'!L12</f>
        <v>11922</v>
      </c>
      <c r="O26" s="40">
        <f>'Income Statements'!$N$23*DCF!O20</f>
        <v>14653.042487999455</v>
      </c>
      <c r="P26" s="40">
        <f>'Income Statements'!$N$23*DCF!P20</f>
        <v>16261.969523355407</v>
      </c>
      <c r="Q26" s="40">
        <f>'Income Statements'!$N$23*DCF!Q20</f>
        <v>17955.174091865912</v>
      </c>
      <c r="R26" s="40">
        <f>'Income Statements'!$N$23*DCF!R20</f>
        <v>19805.638916833621</v>
      </c>
      <c r="S26" s="60">
        <f>'Income Statements'!$N$23*DCF!S20</f>
        <v>21825.814086350652</v>
      </c>
    </row>
    <row r="27" spans="1:19" s="23" customFormat="1" x14ac:dyDescent="0.75">
      <c r="A27" s="32"/>
      <c r="B27" s="23" t="s">
        <v>113</v>
      </c>
      <c r="D27" s="23">
        <f>D26/D23</f>
        <v>0.17782250210997858</v>
      </c>
      <c r="E27" s="23">
        <f t="shared" ref="E27:N27" si="5">E26/E23</f>
        <v>0.22059893307468478</v>
      </c>
      <c r="F27" s="23">
        <f t="shared" si="5"/>
        <v>0.17060950413223142</v>
      </c>
      <c r="G27" s="23">
        <f t="shared" si="5"/>
        <v>0.19699780738741779</v>
      </c>
      <c r="H27" s="23">
        <f t="shared" si="5"/>
        <v>0.55508442203376884</v>
      </c>
      <c r="I27" s="23">
        <f t="shared" si="5"/>
        <v>0.1517584653393402</v>
      </c>
      <c r="J27" s="23">
        <f t="shared" si="5"/>
        <v>0.15430457772194794</v>
      </c>
      <c r="K27" s="23">
        <f t="shared" si="5"/>
        <v>0.18952551911507859</v>
      </c>
      <c r="L27" s="23">
        <f t="shared" si="5"/>
        <v>0.18676474324770689</v>
      </c>
      <c r="M27" s="23">
        <f t="shared" si="5"/>
        <v>0.15173298415328293</v>
      </c>
      <c r="N27" s="32">
        <f t="shared" si="5"/>
        <v>0.14143523186978751</v>
      </c>
      <c r="O27" s="23">
        <f t="shared" ref="O27" si="6">O26/O23</f>
        <v>0.13778680440935995</v>
      </c>
      <c r="P27" s="23">
        <f t="shared" ref="P27" si="7">P26/P23</f>
        <v>0.13343884592373795</v>
      </c>
      <c r="Q27" s="23">
        <f t="shared" ref="Q27" si="8">Q26/Q23</f>
        <v>0.12931734028511488</v>
      </c>
      <c r="R27" s="23">
        <f t="shared" ref="R27" si="9">R26/R23</f>
        <v>0.1279478676951061</v>
      </c>
      <c r="S27" s="32">
        <f t="shared" ref="S27" si="10">S26/S23</f>
        <v>0.12660709662644479</v>
      </c>
    </row>
    <row r="29" spans="1:19" s="3" customFormat="1" x14ac:dyDescent="0.75">
      <c r="A29" s="28"/>
      <c r="B29" s="3" t="s">
        <v>3</v>
      </c>
      <c r="D29" s="3">
        <f>D19</f>
        <v>2013</v>
      </c>
      <c r="E29" s="3">
        <f t="shared" ref="E29:S29" si="11">E19</f>
        <v>2014</v>
      </c>
      <c r="F29" s="3">
        <f t="shared" si="11"/>
        <v>2015</v>
      </c>
      <c r="G29" s="3">
        <f t="shared" si="11"/>
        <v>2016</v>
      </c>
      <c r="H29" s="3">
        <f t="shared" si="11"/>
        <v>2017</v>
      </c>
      <c r="I29" s="3">
        <f t="shared" si="11"/>
        <v>2018</v>
      </c>
      <c r="J29" s="3">
        <f t="shared" si="11"/>
        <v>2019</v>
      </c>
      <c r="K29" s="3">
        <f t="shared" si="11"/>
        <v>2020</v>
      </c>
      <c r="L29" s="3">
        <f t="shared" si="11"/>
        <v>2021</v>
      </c>
      <c r="M29" s="3">
        <f t="shared" si="11"/>
        <v>2022</v>
      </c>
      <c r="N29" s="28">
        <f t="shared" si="11"/>
        <v>2023</v>
      </c>
      <c r="O29" s="3">
        <f t="shared" si="11"/>
        <v>2024</v>
      </c>
      <c r="P29" s="3">
        <f t="shared" si="11"/>
        <v>2025</v>
      </c>
      <c r="Q29" s="3">
        <f t="shared" si="11"/>
        <v>2026</v>
      </c>
      <c r="R29" s="3">
        <f t="shared" si="11"/>
        <v>2027</v>
      </c>
      <c r="S29" s="28">
        <f t="shared" si="11"/>
        <v>2028</v>
      </c>
    </row>
    <row r="30" spans="1:19" x14ac:dyDescent="0.75">
      <c r="B30" t="s">
        <v>99</v>
      </c>
      <c r="D30" s="34">
        <f>CashFlow!B3</f>
        <v>3939</v>
      </c>
      <c r="E30" s="34">
        <f>CashFlow!C3</f>
        <v>4979</v>
      </c>
      <c r="F30" s="34">
        <f>CashFlow!D3</f>
        <v>5063</v>
      </c>
      <c r="G30" s="34">
        <f>CashFlow!E3</f>
        <v>6144</v>
      </c>
      <c r="H30" s="34">
        <f>CashFlow!F3</f>
        <v>6915</v>
      </c>
      <c r="I30" s="34">
        <f>CashFlow!G3</f>
        <v>9035</v>
      </c>
      <c r="J30" s="34">
        <f>CashFlow!H3</f>
        <v>11781</v>
      </c>
      <c r="K30" s="34">
        <f>CashFlow!I3</f>
        <v>13697</v>
      </c>
      <c r="L30" s="34">
        <f>CashFlow!J3</f>
        <v>10273</v>
      </c>
      <c r="M30" s="34">
        <f>CashFlow!K3</f>
        <v>13475</v>
      </c>
      <c r="N30" s="35">
        <f>CashFlow!L3</f>
        <v>11946</v>
      </c>
      <c r="O30" s="40">
        <f>O31*O20</f>
        <v>14597.397476454005</v>
      </c>
      <c r="P30" s="40">
        <f t="shared" ref="P30:S30" si="12">P31*P20</f>
        <v>16488.926650008034</v>
      </c>
      <c r="Q30" s="40">
        <f t="shared" si="12"/>
        <v>17531.275313888145</v>
      </c>
      <c r="R30" s="40">
        <f t="shared" si="12"/>
        <v>19716.844171465244</v>
      </c>
      <c r="S30" s="60">
        <f t="shared" si="12"/>
        <v>21722.972891213085</v>
      </c>
    </row>
    <row r="31" spans="1:19" s="23" customFormat="1" x14ac:dyDescent="0.75">
      <c r="A31" s="32"/>
      <c r="B31" s="23" t="s">
        <v>98</v>
      </c>
      <c r="D31" s="23">
        <f>D30/D20</f>
        <v>7.0948684234226123E-2</v>
      </c>
      <c r="E31" s="23">
        <f t="shared" ref="E31:N31" si="13">E30/E20</f>
        <v>7.543825093559188E-2</v>
      </c>
      <c r="F31" s="23">
        <f t="shared" si="13"/>
        <v>6.7516569096800857E-2</v>
      </c>
      <c r="G31" s="23">
        <f t="shared" si="13"/>
        <v>6.8060971286777738E-2</v>
      </c>
      <c r="H31" s="23">
        <f t="shared" si="13"/>
        <v>6.237878309503405E-2</v>
      </c>
      <c r="I31" s="23">
        <f t="shared" si="13"/>
        <v>6.6036149949933856E-2</v>
      </c>
      <c r="J31" s="23">
        <f t="shared" si="13"/>
        <v>7.2786472009242723E-2</v>
      </c>
      <c r="K31" s="23">
        <f t="shared" si="13"/>
        <v>7.5040952845332465E-2</v>
      </c>
      <c r="L31" s="23">
        <f t="shared" si="13"/>
        <v>3.9873931151193344E-2</v>
      </c>
      <c r="M31" s="23">
        <f t="shared" si="13"/>
        <v>4.764245004172029E-2</v>
      </c>
      <c r="N31" s="32">
        <f t="shared" si="13"/>
        <v>3.8862176880485634E-2</v>
      </c>
      <c r="O31" s="23">
        <f>AVERAGE(L31:N31)</f>
        <v>4.2126186024466418E-2</v>
      </c>
      <c r="P31" s="23">
        <f t="shared" ref="P31:S31" si="14">AVERAGE(M31:O31)</f>
        <v>4.2876937648890778E-2</v>
      </c>
      <c r="Q31" s="23">
        <f t="shared" si="14"/>
        <v>4.1288433517947608E-2</v>
      </c>
      <c r="R31" s="23">
        <f t="shared" si="14"/>
        <v>4.2097185730434937E-2</v>
      </c>
      <c r="S31" s="32">
        <f t="shared" si="14"/>
        <v>4.2087518965757777E-2</v>
      </c>
    </row>
    <row r="33" spans="1:20" x14ac:dyDescent="0.75">
      <c r="B33" t="s">
        <v>100</v>
      </c>
      <c r="D33" s="34">
        <f>-CashFlow!B12</f>
        <v>7358</v>
      </c>
      <c r="E33" s="34">
        <f>-CashFlow!C12</f>
        <v>10959</v>
      </c>
      <c r="F33" s="34">
        <f>-CashFlow!D12</f>
        <v>9915</v>
      </c>
      <c r="G33" s="34">
        <f>-CashFlow!E12</f>
        <v>9972</v>
      </c>
      <c r="H33" s="34">
        <f>-CashFlow!F12</f>
        <v>13184</v>
      </c>
      <c r="I33" s="34">
        <f>-CashFlow!G12</f>
        <v>25139</v>
      </c>
      <c r="J33" s="34">
        <f>-CashFlow!H12</f>
        <v>23548</v>
      </c>
      <c r="K33" s="34">
        <f>-CashFlow!I12</f>
        <v>22281</v>
      </c>
      <c r="L33" s="34">
        <f>-CashFlow!J12</f>
        <v>24640</v>
      </c>
      <c r="M33" s="34">
        <f>-CashFlow!K12</f>
        <v>31485</v>
      </c>
      <c r="N33" s="35">
        <f>-CashFlow!L12</f>
        <v>32251</v>
      </c>
      <c r="O33" s="39">
        <v>39475</v>
      </c>
      <c r="P33" s="39">
        <v>43081</v>
      </c>
      <c r="Q33" s="39">
        <v>46502</v>
      </c>
      <c r="R33" s="39">
        <v>50898</v>
      </c>
      <c r="S33" s="61">
        <v>55344</v>
      </c>
    </row>
    <row r="34" spans="1:20" s="23" customFormat="1" x14ac:dyDescent="0.75">
      <c r="A34" s="32"/>
      <c r="B34" s="23" t="s">
        <v>98</v>
      </c>
      <c r="D34" s="23">
        <f>D33/D20</f>
        <v>0.13253120553324088</v>
      </c>
      <c r="E34" s="23">
        <f t="shared" ref="E34:N34" si="15">E33/E20</f>
        <v>0.16604293874335238</v>
      </c>
      <c r="F34" s="23">
        <f t="shared" si="15"/>
        <v>0.13221939217751938</v>
      </c>
      <c r="G34" s="23">
        <f t="shared" si="15"/>
        <v>0.11046614675646933</v>
      </c>
      <c r="H34" s="23">
        <f t="shared" si="15"/>
        <v>0.11893013395877497</v>
      </c>
      <c r="I34" s="23">
        <f t="shared" si="15"/>
        <v>0.18373910056351822</v>
      </c>
      <c r="J34" s="23">
        <f t="shared" si="15"/>
        <v>0.14548644791389931</v>
      </c>
      <c r="K34" s="23">
        <f t="shared" si="15"/>
        <v>0.12206961161910293</v>
      </c>
      <c r="L34" s="23">
        <f t="shared" si="15"/>
        <v>9.5638437025737766E-2</v>
      </c>
      <c r="M34" s="23">
        <f t="shared" si="15"/>
        <v>0.11131892686928113</v>
      </c>
      <c r="N34" s="32">
        <f t="shared" si="15"/>
        <v>0.10491746748472644</v>
      </c>
      <c r="O34" s="23">
        <f t="shared" ref="O34" si="16">O33/O20</f>
        <v>0.11391970356347182</v>
      </c>
      <c r="P34" s="23">
        <f t="shared" ref="P34" si="17">P33/P20</f>
        <v>0.11202556661569986</v>
      </c>
      <c r="Q34" s="23">
        <f t="shared" ref="Q34" si="18">Q33/Q20</f>
        <v>0.1095182581458061</v>
      </c>
      <c r="R34" s="23">
        <f t="shared" ref="R34" si="19">R33/R20</f>
        <v>0.10867167892966346</v>
      </c>
      <c r="S34" s="32">
        <f t="shared" ref="S34" si="20">S33/S20</f>
        <v>0.10722711211332837</v>
      </c>
    </row>
    <row r="36" spans="1:20" x14ac:dyDescent="0.75">
      <c r="B36" t="s">
        <v>101</v>
      </c>
      <c r="D36" s="34">
        <f>D37*D20</f>
        <v>653.37660203977691</v>
      </c>
      <c r="E36" s="34">
        <f t="shared" ref="E36:N36" si="21">E37*E20</f>
        <v>858.01299999999992</v>
      </c>
      <c r="F36" s="34">
        <f t="shared" si="21"/>
        <v>1349.8019999999999</v>
      </c>
      <c r="G36" s="34">
        <f t="shared" si="21"/>
        <v>1805.44</v>
      </c>
      <c r="H36" s="34">
        <f t="shared" si="21"/>
        <v>2660.52</v>
      </c>
      <c r="I36" s="34">
        <f t="shared" si="21"/>
        <v>3694.1129999999998</v>
      </c>
      <c r="J36" s="34">
        <f t="shared" si="21"/>
        <v>5664.9950000000008</v>
      </c>
      <c r="K36" s="34">
        <f t="shared" si="21"/>
        <v>2737.9049999999997</v>
      </c>
      <c r="L36" s="34">
        <f t="shared" si="21"/>
        <v>3349.2809999999999</v>
      </c>
      <c r="M36" s="34">
        <f t="shared" si="21"/>
        <v>4355.6743999999999</v>
      </c>
      <c r="N36" s="35">
        <f t="shared" si="21"/>
        <v>4364.9948000000004</v>
      </c>
      <c r="O36" s="39">
        <v>5157</v>
      </c>
      <c r="P36" s="39">
        <v>4382</v>
      </c>
      <c r="Q36" s="39">
        <v>4290</v>
      </c>
      <c r="R36" s="39">
        <v>5485</v>
      </c>
      <c r="S36" s="61">
        <v>5549</v>
      </c>
    </row>
    <row r="37" spans="1:20" s="23" customFormat="1" x14ac:dyDescent="0.75">
      <c r="A37" s="32"/>
      <c r="B37" s="23" t="s">
        <v>98</v>
      </c>
      <c r="D37" s="23">
        <f>AVERAGE(O37:S37)</f>
        <v>1.1768522524537131E-2</v>
      </c>
      <c r="E37" s="23">
        <v>1.2999999999999999E-2</v>
      </c>
      <c r="F37" s="23">
        <v>1.7999999999999999E-2</v>
      </c>
      <c r="G37" s="23">
        <v>0.02</v>
      </c>
      <c r="H37" s="23">
        <v>2.4E-2</v>
      </c>
      <c r="I37" s="23">
        <v>2.7E-2</v>
      </c>
      <c r="J37" s="23">
        <v>3.5000000000000003E-2</v>
      </c>
      <c r="K37" s="23">
        <v>1.4999999999999999E-2</v>
      </c>
      <c r="L37" s="23">
        <v>1.2999999999999999E-2</v>
      </c>
      <c r="M37" s="23">
        <v>1.54E-2</v>
      </c>
      <c r="N37" s="32">
        <v>1.4200000000000001E-2</v>
      </c>
      <c r="O37" s="23">
        <f>O36/O20</f>
        <v>1.4882429671357167E-2</v>
      </c>
      <c r="P37" s="23">
        <f t="shared" ref="P37:S37" si="22">P36/P20</f>
        <v>1.1394722334903943E-2</v>
      </c>
      <c r="Q37" s="23">
        <f t="shared" si="22"/>
        <v>1.0103507966227434E-2</v>
      </c>
      <c r="R37" s="23">
        <f t="shared" si="22"/>
        <v>1.1710954436897405E-2</v>
      </c>
      <c r="S37" s="32">
        <f t="shared" si="22"/>
        <v>1.0750998213299709E-2</v>
      </c>
    </row>
    <row r="38" spans="1:20" x14ac:dyDescent="0.75">
      <c r="O38" s="71">
        <v>0.38</v>
      </c>
      <c r="P38" s="71">
        <v>1.25</v>
      </c>
      <c r="Q38" s="71">
        <v>2.25</v>
      </c>
      <c r="R38" s="71">
        <f t="shared" ref="R38:S38" si="23">Q38+1</f>
        <v>3.25</v>
      </c>
      <c r="S38" s="67">
        <f t="shared" si="23"/>
        <v>4.25</v>
      </c>
      <c r="T38" s="71">
        <v>4.75</v>
      </c>
    </row>
    <row r="39" spans="1:20" s="3" customFormat="1" x14ac:dyDescent="0.75">
      <c r="A39" s="28"/>
      <c r="B39" s="3" t="s">
        <v>4</v>
      </c>
      <c r="D39" s="3">
        <f>D29</f>
        <v>2013</v>
      </c>
      <c r="E39" s="3">
        <f t="shared" ref="E39:S39" si="24">E29</f>
        <v>2014</v>
      </c>
      <c r="F39" s="3">
        <f t="shared" si="24"/>
        <v>2015</v>
      </c>
      <c r="G39" s="3">
        <f t="shared" si="24"/>
        <v>2016</v>
      </c>
      <c r="H39" s="3">
        <f t="shared" si="24"/>
        <v>2017</v>
      </c>
      <c r="I39" s="3">
        <f t="shared" si="24"/>
        <v>2018</v>
      </c>
      <c r="J39" s="3">
        <f t="shared" si="24"/>
        <v>2019</v>
      </c>
      <c r="K39" s="3">
        <f t="shared" si="24"/>
        <v>2020</v>
      </c>
      <c r="L39" s="3">
        <f t="shared" si="24"/>
        <v>2021</v>
      </c>
      <c r="M39" s="3">
        <f t="shared" si="24"/>
        <v>2022</v>
      </c>
      <c r="N39" s="28">
        <f t="shared" si="24"/>
        <v>2023</v>
      </c>
      <c r="O39" s="3">
        <f t="shared" si="24"/>
        <v>2024</v>
      </c>
      <c r="P39" s="3">
        <f t="shared" si="24"/>
        <v>2025</v>
      </c>
      <c r="Q39" s="3">
        <f t="shared" si="24"/>
        <v>2026</v>
      </c>
      <c r="R39" s="3">
        <f t="shared" si="24"/>
        <v>2027</v>
      </c>
      <c r="S39" s="28">
        <f t="shared" si="24"/>
        <v>2028</v>
      </c>
      <c r="T39" s="87" t="s">
        <v>135</v>
      </c>
    </row>
    <row r="40" spans="1:20" x14ac:dyDescent="0.75">
      <c r="B40" t="s">
        <v>23</v>
      </c>
      <c r="D40" s="36">
        <f>D20</f>
        <v>55519</v>
      </c>
      <c r="E40" s="36">
        <f t="shared" ref="E40:N40" si="25">E20</f>
        <v>66001</v>
      </c>
      <c r="F40" s="36">
        <f t="shared" si="25"/>
        <v>74989</v>
      </c>
      <c r="G40" s="36">
        <f t="shared" si="25"/>
        <v>90272</v>
      </c>
      <c r="H40" s="36">
        <f t="shared" si="25"/>
        <v>110855</v>
      </c>
      <c r="I40" s="36">
        <f t="shared" si="25"/>
        <v>136819</v>
      </c>
      <c r="J40" s="36">
        <f t="shared" si="25"/>
        <v>161857</v>
      </c>
      <c r="K40" s="36">
        <f t="shared" si="25"/>
        <v>182527</v>
      </c>
      <c r="L40" s="36">
        <f t="shared" si="25"/>
        <v>257637</v>
      </c>
      <c r="M40" s="36">
        <f t="shared" si="25"/>
        <v>282836</v>
      </c>
      <c r="N40" s="37">
        <f t="shared" si="25"/>
        <v>307394</v>
      </c>
      <c r="O40" s="16">
        <f ca="1">N40*(1+O41)</f>
        <v>346516</v>
      </c>
      <c r="P40" s="16">
        <f t="shared" ref="P40:S40" ca="1" si="26">O40*(1+P41)</f>
        <v>384564</v>
      </c>
      <c r="Q40" s="16">
        <f t="shared" ca="1" si="26"/>
        <v>424605</v>
      </c>
      <c r="R40" s="16">
        <f t="shared" ca="1" si="26"/>
        <v>468364.8996804693</v>
      </c>
      <c r="S40" s="33">
        <f t="shared" ca="1" si="26"/>
        <v>524568.68764212565</v>
      </c>
    </row>
    <row r="41" spans="1:20" x14ac:dyDescent="0.75">
      <c r="B41" s="22" t="s">
        <v>102</v>
      </c>
      <c r="D41" s="23" t="str">
        <f>D21</f>
        <v>--</v>
      </c>
      <c r="E41" s="23">
        <f t="shared" ref="E41:N41" si="27">E21</f>
        <v>0.18880023055170303</v>
      </c>
      <c r="F41" s="23">
        <f t="shared" si="27"/>
        <v>0.13617975485219921</v>
      </c>
      <c r="G41" s="23">
        <f t="shared" si="27"/>
        <v>0.20380322447292271</v>
      </c>
      <c r="H41" s="23">
        <f t="shared" si="27"/>
        <v>0.22801090038993266</v>
      </c>
      <c r="I41" s="23">
        <f t="shared" si="27"/>
        <v>0.23421586757475982</v>
      </c>
      <c r="J41" s="23">
        <f t="shared" si="27"/>
        <v>0.18300089899794619</v>
      </c>
      <c r="K41" s="23">
        <f t="shared" si="27"/>
        <v>0.12770532012826136</v>
      </c>
      <c r="L41" s="23">
        <f t="shared" si="27"/>
        <v>0.41150076427049148</v>
      </c>
      <c r="M41" s="23">
        <f t="shared" si="27"/>
        <v>9.7808156437157706E-2</v>
      </c>
      <c r="N41" s="32">
        <f t="shared" si="27"/>
        <v>8.6827702272695137E-2</v>
      </c>
      <c r="O41" s="23">
        <f ca="1">OFFSET(O42,$D$9,0)</f>
        <v>0.12726988815656778</v>
      </c>
      <c r="P41" s="23">
        <f t="shared" ref="P41:S41" ca="1" si="28">OFFSET(P42,$D$9,0)</f>
        <v>0.10980156760438191</v>
      </c>
      <c r="Q41" s="23">
        <f t="shared" ca="1" si="28"/>
        <v>0.10412051050020282</v>
      </c>
      <c r="R41" s="23">
        <f t="shared" ca="1" si="28"/>
        <v>0.1030602552501014</v>
      </c>
      <c r="S41" s="32">
        <f t="shared" ca="1" si="28"/>
        <v>0.12</v>
      </c>
    </row>
    <row r="42" spans="1:20" s="23" customFormat="1" x14ac:dyDescent="0.75">
      <c r="A42" s="32"/>
      <c r="B42" s="23" t="s">
        <v>103</v>
      </c>
      <c r="N42" s="32"/>
      <c r="O42" s="47">
        <f>O43</f>
        <v>0.12726988815656778</v>
      </c>
      <c r="P42" s="46">
        <f>P43</f>
        <v>0.10980156760438191</v>
      </c>
      <c r="Q42" s="43">
        <f>Q43*$I$9</f>
        <v>8.8502433925172402E-2</v>
      </c>
      <c r="R42" s="43">
        <f t="shared" ref="R42" si="29">R43*$I$9</f>
        <v>8.7601216962586187E-2</v>
      </c>
      <c r="S42" s="62">
        <v>9.7000000000000003E-2</v>
      </c>
    </row>
    <row r="43" spans="1:20" x14ac:dyDescent="0.75">
      <c r="B43" s="23" t="s">
        <v>104</v>
      </c>
      <c r="O43" s="49">
        <f>O21</f>
        <v>0.12726988815656778</v>
      </c>
      <c r="P43" s="41">
        <f t="shared" ref="P43:S43" si="30">P21</f>
        <v>0.10980156760438191</v>
      </c>
      <c r="Q43" s="41">
        <f t="shared" si="30"/>
        <v>0.10412051050020282</v>
      </c>
      <c r="R43" s="41">
        <f t="shared" si="30"/>
        <v>0.1030602552501014</v>
      </c>
      <c r="S43" s="63">
        <f t="shared" si="30"/>
        <v>0.10199999999999999</v>
      </c>
    </row>
    <row r="44" spans="1:20" s="23" customFormat="1" x14ac:dyDescent="0.75">
      <c r="A44" s="32"/>
      <c r="B44" s="23" t="s">
        <v>105</v>
      </c>
      <c r="N44" s="32"/>
      <c r="O44" s="45">
        <f>O43</f>
        <v>0.12726988815656778</v>
      </c>
      <c r="P44" s="44">
        <f>P43</f>
        <v>0.10980156760438191</v>
      </c>
      <c r="Q44" s="42">
        <f>Q43*$Q$9</f>
        <v>0.10412051050020282</v>
      </c>
      <c r="R44" s="42">
        <f t="shared" ref="R44" si="31">R43*$Q$9</f>
        <v>0.1030602552501014</v>
      </c>
      <c r="S44" s="64">
        <v>0.12</v>
      </c>
    </row>
    <row r="46" spans="1:20" x14ac:dyDescent="0.75">
      <c r="B46" t="s">
        <v>17</v>
      </c>
      <c r="D46" s="36">
        <f>D23</f>
        <v>15403</v>
      </c>
      <c r="E46" s="36">
        <f t="shared" ref="E46:N46" si="32">E23</f>
        <v>16496</v>
      </c>
      <c r="F46" s="36">
        <f t="shared" si="32"/>
        <v>19360</v>
      </c>
      <c r="G46" s="36">
        <f t="shared" si="32"/>
        <v>23716</v>
      </c>
      <c r="H46" s="36">
        <f t="shared" si="32"/>
        <v>26178</v>
      </c>
      <c r="I46" s="36">
        <f t="shared" si="32"/>
        <v>27524</v>
      </c>
      <c r="J46" s="36">
        <f t="shared" si="32"/>
        <v>34231</v>
      </c>
      <c r="K46" s="36">
        <f t="shared" si="32"/>
        <v>41224</v>
      </c>
      <c r="L46" s="36">
        <f t="shared" si="32"/>
        <v>78714</v>
      </c>
      <c r="M46" s="36">
        <f t="shared" si="32"/>
        <v>74842</v>
      </c>
      <c r="N46" s="37">
        <f t="shared" si="32"/>
        <v>84293</v>
      </c>
      <c r="O46" s="16">
        <f ca="1">O47*O40</f>
        <v>106345.7604</v>
      </c>
      <c r="P46" s="16">
        <f t="shared" ref="P46:S46" ca="1" si="33">P47*P40</f>
        <v>121868.3316</v>
      </c>
      <c r="Q46" s="16">
        <f t="shared" ca="1" si="33"/>
        <v>139242.133</v>
      </c>
      <c r="R46" s="16">
        <f t="shared" ca="1" si="33"/>
        <v>158760.08882835638</v>
      </c>
      <c r="S46" s="33">
        <f t="shared" ca="1" si="33"/>
        <v>183599.04067474397</v>
      </c>
    </row>
    <row r="47" spans="1:20" x14ac:dyDescent="0.75">
      <c r="B47" s="24" t="s">
        <v>106</v>
      </c>
      <c r="D47" s="23">
        <f>D24</f>
        <v>0.27743655325203986</v>
      </c>
      <c r="E47" s="23">
        <f t="shared" ref="E47:N47" si="34">E24</f>
        <v>0.24993560703625703</v>
      </c>
      <c r="F47" s="23">
        <f t="shared" si="34"/>
        <v>0.25817119844243824</v>
      </c>
      <c r="G47" s="23">
        <f t="shared" si="34"/>
        <v>0.26271712158808935</v>
      </c>
      <c r="H47" s="23">
        <f t="shared" si="34"/>
        <v>0.23614631726128726</v>
      </c>
      <c r="I47" s="23">
        <f t="shared" si="34"/>
        <v>0.20117089000796673</v>
      </c>
      <c r="J47" s="23">
        <f t="shared" si="34"/>
        <v>0.21148915400631421</v>
      </c>
      <c r="K47" s="23">
        <f t="shared" si="34"/>
        <v>0.22585151785763202</v>
      </c>
      <c r="L47" s="23">
        <f t="shared" si="34"/>
        <v>0.3055228868524319</v>
      </c>
      <c r="M47" s="23">
        <f t="shared" si="34"/>
        <v>0.26461270842467011</v>
      </c>
      <c r="N47" s="32">
        <f t="shared" si="34"/>
        <v>0.27421810445226646</v>
      </c>
      <c r="O47" s="23">
        <f ca="1">OFFSET(O48,$D$10,0)</f>
        <v>0.30690000000000001</v>
      </c>
      <c r="P47" s="23">
        <f t="shared" ref="P47:S47" ca="1" si="35">OFFSET(P48,$D$10,0)</f>
        <v>0.31690000000000002</v>
      </c>
      <c r="Q47" s="23">
        <f t="shared" ca="1" si="35"/>
        <v>0.32793333333333335</v>
      </c>
      <c r="R47" s="23">
        <f t="shared" ca="1" si="35"/>
        <v>0.33896666666666664</v>
      </c>
      <c r="S47" s="32">
        <f t="shared" ca="1" si="35"/>
        <v>0.35</v>
      </c>
    </row>
    <row r="48" spans="1:20" x14ac:dyDescent="0.75">
      <c r="B48" s="23" t="s">
        <v>103</v>
      </c>
      <c r="O48" s="47">
        <f>O49</f>
        <v>0.30690000000000001</v>
      </c>
      <c r="P48" s="46">
        <f>P49</f>
        <v>0.31690000000000002</v>
      </c>
      <c r="Q48" s="43">
        <f>P48-($S$48-P48)/($S$39-P39)</f>
        <v>0.32253333333333334</v>
      </c>
      <c r="R48" s="43">
        <f>Q48-(S48-Q48)/(S39-Q39)</f>
        <v>0.33379999999999999</v>
      </c>
      <c r="S48" s="62">
        <v>0.3</v>
      </c>
    </row>
    <row r="49" spans="1:19" x14ac:dyDescent="0.75">
      <c r="B49" s="23" t="s">
        <v>104</v>
      </c>
      <c r="O49" s="49">
        <f>O24</f>
        <v>0.30690000000000001</v>
      </c>
      <c r="P49" s="41">
        <f t="shared" ref="P49:S49" si="36">P24</f>
        <v>0.31690000000000002</v>
      </c>
      <c r="Q49" s="41">
        <f t="shared" si="36"/>
        <v>0.32700000000000001</v>
      </c>
      <c r="R49" s="41">
        <f t="shared" si="36"/>
        <v>0.33050000000000002</v>
      </c>
      <c r="S49" s="63">
        <f t="shared" si="36"/>
        <v>0.33400000000000002</v>
      </c>
    </row>
    <row r="50" spans="1:19" s="23" customFormat="1" x14ac:dyDescent="0.75">
      <c r="A50" s="32"/>
      <c r="B50" s="23" t="s">
        <v>105</v>
      </c>
      <c r="N50" s="32"/>
      <c r="O50" s="45">
        <f>O49</f>
        <v>0.30690000000000001</v>
      </c>
      <c r="P50" s="44">
        <f>P49</f>
        <v>0.31690000000000002</v>
      </c>
      <c r="Q50" s="42">
        <f>P50+($S$50-P50)/($S$39-P39)</f>
        <v>0.32793333333333335</v>
      </c>
      <c r="R50" s="42">
        <f t="shared" ref="R50" si="37">Q50+($S$50-Q50)/($S$39-Q39)</f>
        <v>0.33896666666666664</v>
      </c>
      <c r="S50" s="64">
        <v>0.35</v>
      </c>
    </row>
    <row r="52" spans="1:19" x14ac:dyDescent="0.75">
      <c r="B52" s="25" t="s">
        <v>20</v>
      </c>
      <c r="D52" s="36">
        <f>D26</f>
        <v>2739</v>
      </c>
      <c r="E52" s="36">
        <f t="shared" ref="E52:N52" si="38">E26</f>
        <v>3639</v>
      </c>
      <c r="F52" s="36">
        <f t="shared" si="38"/>
        <v>3303</v>
      </c>
      <c r="G52" s="36">
        <f t="shared" si="38"/>
        <v>4672</v>
      </c>
      <c r="H52" s="36">
        <f t="shared" si="38"/>
        <v>14531</v>
      </c>
      <c r="I52" s="36">
        <f t="shared" si="38"/>
        <v>4177</v>
      </c>
      <c r="J52" s="36">
        <f t="shared" si="38"/>
        <v>5282</v>
      </c>
      <c r="K52" s="36">
        <f t="shared" si="38"/>
        <v>7813</v>
      </c>
      <c r="L52" s="36">
        <f t="shared" si="38"/>
        <v>14701</v>
      </c>
      <c r="M52" s="36">
        <f t="shared" si="38"/>
        <v>11356</v>
      </c>
      <c r="N52" s="37">
        <f t="shared" si="38"/>
        <v>11922</v>
      </c>
      <c r="O52" s="18">
        <v>12218</v>
      </c>
      <c r="P52" s="18">
        <v>18898</v>
      </c>
      <c r="Q52" s="18">
        <v>21738</v>
      </c>
      <c r="R52" s="18">
        <v>25084</v>
      </c>
      <c r="S52" s="65">
        <v>28609</v>
      </c>
    </row>
    <row r="53" spans="1:19" x14ac:dyDescent="0.75">
      <c r="B53" s="23" t="s">
        <v>107</v>
      </c>
      <c r="D53" s="23">
        <f>D27</f>
        <v>0.17782250210997858</v>
      </c>
      <c r="E53" s="23">
        <f t="shared" ref="E53:S53" si="39">E27</f>
        <v>0.22059893307468478</v>
      </c>
      <c r="F53" s="23">
        <f t="shared" si="39"/>
        <v>0.17060950413223142</v>
      </c>
      <c r="G53" s="23">
        <f t="shared" si="39"/>
        <v>0.19699780738741779</v>
      </c>
      <c r="H53" s="23">
        <f t="shared" si="39"/>
        <v>0.55508442203376884</v>
      </c>
      <c r="I53" s="23">
        <f t="shared" si="39"/>
        <v>0.1517584653393402</v>
      </c>
      <c r="J53" s="23">
        <f t="shared" si="39"/>
        <v>0.15430457772194794</v>
      </c>
      <c r="K53" s="23">
        <f t="shared" si="39"/>
        <v>0.18952551911507859</v>
      </c>
      <c r="L53" s="23">
        <f t="shared" si="39"/>
        <v>0.18676474324770689</v>
      </c>
      <c r="M53" s="23">
        <f t="shared" si="39"/>
        <v>0.15173298415328293</v>
      </c>
      <c r="N53" s="32">
        <f t="shared" si="39"/>
        <v>0.14143523186978751</v>
      </c>
      <c r="O53" s="45">
        <f t="shared" si="39"/>
        <v>0.13778680440935995</v>
      </c>
      <c r="P53" s="42">
        <f t="shared" si="39"/>
        <v>0.13343884592373795</v>
      </c>
      <c r="Q53" s="42">
        <f t="shared" si="39"/>
        <v>0.12931734028511488</v>
      </c>
      <c r="R53" s="42">
        <f t="shared" si="39"/>
        <v>0.1279478676951061</v>
      </c>
      <c r="S53" s="66">
        <f t="shared" si="39"/>
        <v>0.12660709662644479</v>
      </c>
    </row>
    <row r="55" spans="1:19" s="52" customFormat="1" x14ac:dyDescent="0.75">
      <c r="A55" s="58"/>
      <c r="B55" s="50" t="s">
        <v>108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1"/>
      <c r="O55" s="50">
        <f ca="1">O46-O52</f>
        <v>94127.760399999999</v>
      </c>
      <c r="P55" s="50">
        <f t="shared" ref="P55:S55" ca="1" si="40">P46-P52</f>
        <v>102970.3316</v>
      </c>
      <c r="Q55" s="50">
        <f t="shared" ca="1" si="40"/>
        <v>117504.133</v>
      </c>
      <c r="R55" s="50">
        <f t="shared" ca="1" si="40"/>
        <v>133676.08882835638</v>
      </c>
      <c r="S55" s="51">
        <f t="shared" ca="1" si="40"/>
        <v>154990.04067474397</v>
      </c>
    </row>
    <row r="57" spans="1:19" x14ac:dyDescent="0.75">
      <c r="B57" t="s">
        <v>99</v>
      </c>
      <c r="D57" s="16">
        <f>D30</f>
        <v>3939</v>
      </c>
      <c r="E57" s="16">
        <f>E30</f>
        <v>4979</v>
      </c>
      <c r="F57" s="16">
        <f t="shared" ref="F57:S57" si="41">F30</f>
        <v>5063</v>
      </c>
      <c r="G57" s="16">
        <f t="shared" si="41"/>
        <v>6144</v>
      </c>
      <c r="H57" s="16">
        <f t="shared" si="41"/>
        <v>6915</v>
      </c>
      <c r="I57" s="16">
        <f t="shared" si="41"/>
        <v>9035</v>
      </c>
      <c r="J57" s="16">
        <f t="shared" si="41"/>
        <v>11781</v>
      </c>
      <c r="K57" s="16">
        <f t="shared" si="41"/>
        <v>13697</v>
      </c>
      <c r="L57" s="16">
        <f t="shared" si="41"/>
        <v>10273</v>
      </c>
      <c r="M57" s="16">
        <f t="shared" si="41"/>
        <v>13475</v>
      </c>
      <c r="N57" s="33">
        <f t="shared" si="41"/>
        <v>11946</v>
      </c>
      <c r="O57" s="16">
        <f t="shared" si="41"/>
        <v>14597.397476454005</v>
      </c>
      <c r="P57" s="16">
        <f t="shared" si="41"/>
        <v>16488.926650008034</v>
      </c>
      <c r="Q57" s="16">
        <f t="shared" si="41"/>
        <v>17531.275313888145</v>
      </c>
      <c r="R57" s="16">
        <f t="shared" si="41"/>
        <v>19716.844171465244</v>
      </c>
      <c r="S57" s="33">
        <f t="shared" si="41"/>
        <v>21722.972891213085</v>
      </c>
    </row>
    <row r="58" spans="1:19" x14ac:dyDescent="0.75">
      <c r="B58" s="23" t="s">
        <v>106</v>
      </c>
      <c r="D58" s="23">
        <f>D31</f>
        <v>7.0948684234226123E-2</v>
      </c>
      <c r="E58" s="23">
        <f t="shared" ref="E58:S58" si="42">E31</f>
        <v>7.543825093559188E-2</v>
      </c>
      <c r="F58" s="23">
        <f t="shared" si="42"/>
        <v>6.7516569096800857E-2</v>
      </c>
      <c r="G58" s="23">
        <f t="shared" si="42"/>
        <v>6.8060971286777738E-2</v>
      </c>
      <c r="H58" s="23">
        <f t="shared" si="42"/>
        <v>6.237878309503405E-2</v>
      </c>
      <c r="I58" s="23">
        <f t="shared" si="42"/>
        <v>6.6036149949933856E-2</v>
      </c>
      <c r="J58" s="23">
        <f t="shared" si="42"/>
        <v>7.2786472009242723E-2</v>
      </c>
      <c r="K58" s="23">
        <f t="shared" si="42"/>
        <v>7.5040952845332465E-2</v>
      </c>
      <c r="L58" s="23">
        <f t="shared" si="42"/>
        <v>3.9873931151193344E-2</v>
      </c>
      <c r="M58" s="23">
        <f t="shared" si="42"/>
        <v>4.764245004172029E-2</v>
      </c>
      <c r="N58" s="32">
        <f t="shared" si="42"/>
        <v>3.8862176880485634E-2</v>
      </c>
      <c r="O58" s="23">
        <f t="shared" si="42"/>
        <v>4.2126186024466418E-2</v>
      </c>
      <c r="P58" s="23">
        <f t="shared" si="42"/>
        <v>4.2876937648890778E-2</v>
      </c>
      <c r="Q58" s="23">
        <f t="shared" si="42"/>
        <v>4.1288433517947608E-2</v>
      </c>
      <c r="R58" s="23">
        <f t="shared" si="42"/>
        <v>4.2097185730434937E-2</v>
      </c>
      <c r="S58" s="32">
        <f t="shared" si="42"/>
        <v>4.2087518965757777E-2</v>
      </c>
    </row>
    <row r="60" spans="1:19" x14ac:dyDescent="0.75">
      <c r="B60" t="s">
        <v>100</v>
      </c>
      <c r="D60" s="16">
        <f>D33</f>
        <v>7358</v>
      </c>
      <c r="E60" s="16">
        <f t="shared" ref="E60:S60" si="43">E33</f>
        <v>10959</v>
      </c>
      <c r="F60" s="16">
        <f t="shared" si="43"/>
        <v>9915</v>
      </c>
      <c r="G60" s="16">
        <f t="shared" si="43"/>
        <v>9972</v>
      </c>
      <c r="H60" s="16">
        <f t="shared" si="43"/>
        <v>13184</v>
      </c>
      <c r="I60" s="16">
        <f t="shared" si="43"/>
        <v>25139</v>
      </c>
      <c r="J60" s="16">
        <f t="shared" si="43"/>
        <v>23548</v>
      </c>
      <c r="K60" s="16">
        <f t="shared" si="43"/>
        <v>22281</v>
      </c>
      <c r="L60" s="16">
        <f t="shared" si="43"/>
        <v>24640</v>
      </c>
      <c r="M60" s="16">
        <f t="shared" si="43"/>
        <v>31485</v>
      </c>
      <c r="N60" s="33">
        <f t="shared" si="43"/>
        <v>32251</v>
      </c>
      <c r="O60" s="16">
        <f t="shared" si="43"/>
        <v>39475</v>
      </c>
      <c r="P60" s="16">
        <f t="shared" si="43"/>
        <v>43081</v>
      </c>
      <c r="Q60" s="16">
        <f t="shared" si="43"/>
        <v>46502</v>
      </c>
      <c r="R60" s="16">
        <f t="shared" si="43"/>
        <v>50898</v>
      </c>
      <c r="S60" s="33">
        <f t="shared" si="43"/>
        <v>55344</v>
      </c>
    </row>
    <row r="61" spans="1:19" x14ac:dyDescent="0.75">
      <c r="B61" s="23" t="s">
        <v>106</v>
      </c>
      <c r="D61" s="23">
        <f>D34</f>
        <v>0.13253120553324088</v>
      </c>
      <c r="E61" s="23">
        <f t="shared" ref="E61:S61" si="44">E34</f>
        <v>0.16604293874335238</v>
      </c>
      <c r="F61" s="23">
        <f t="shared" si="44"/>
        <v>0.13221939217751938</v>
      </c>
      <c r="G61" s="23">
        <f t="shared" si="44"/>
        <v>0.11046614675646933</v>
      </c>
      <c r="H61" s="23">
        <f t="shared" si="44"/>
        <v>0.11893013395877497</v>
      </c>
      <c r="I61" s="23">
        <f t="shared" si="44"/>
        <v>0.18373910056351822</v>
      </c>
      <c r="J61" s="23">
        <f t="shared" si="44"/>
        <v>0.14548644791389931</v>
      </c>
      <c r="K61" s="23">
        <f t="shared" si="44"/>
        <v>0.12206961161910293</v>
      </c>
      <c r="L61" s="23">
        <f t="shared" si="44"/>
        <v>9.5638437025737766E-2</v>
      </c>
      <c r="M61" s="23">
        <f t="shared" si="44"/>
        <v>0.11131892686928113</v>
      </c>
      <c r="N61" s="32">
        <f t="shared" si="44"/>
        <v>0.10491746748472644</v>
      </c>
      <c r="O61" s="23">
        <f t="shared" si="44"/>
        <v>0.11391970356347182</v>
      </c>
      <c r="P61" s="23">
        <f t="shared" si="44"/>
        <v>0.11202556661569986</v>
      </c>
      <c r="Q61" s="23">
        <f t="shared" si="44"/>
        <v>0.1095182581458061</v>
      </c>
      <c r="R61" s="23">
        <f t="shared" si="44"/>
        <v>0.10867167892966346</v>
      </c>
      <c r="S61" s="32">
        <f t="shared" si="44"/>
        <v>0.10722711211332837</v>
      </c>
    </row>
    <row r="63" spans="1:19" x14ac:dyDescent="0.75">
      <c r="B63" t="s">
        <v>109</v>
      </c>
      <c r="D63" s="16">
        <f>D36</f>
        <v>653.37660203977691</v>
      </c>
      <c r="E63" s="16">
        <f t="shared" ref="E63:S63" si="45">E36</f>
        <v>858.01299999999992</v>
      </c>
      <c r="F63" s="16">
        <f t="shared" si="45"/>
        <v>1349.8019999999999</v>
      </c>
      <c r="G63" s="16">
        <f t="shared" si="45"/>
        <v>1805.44</v>
      </c>
      <c r="H63" s="16">
        <f t="shared" si="45"/>
        <v>2660.52</v>
      </c>
      <c r="I63" s="16">
        <f t="shared" si="45"/>
        <v>3694.1129999999998</v>
      </c>
      <c r="J63" s="16">
        <f t="shared" si="45"/>
        <v>5664.9950000000008</v>
      </c>
      <c r="K63" s="16">
        <f t="shared" si="45"/>
        <v>2737.9049999999997</v>
      </c>
      <c r="L63" s="16">
        <f t="shared" si="45"/>
        <v>3349.2809999999999</v>
      </c>
      <c r="M63" s="16">
        <f t="shared" si="45"/>
        <v>4355.6743999999999</v>
      </c>
      <c r="N63" s="33">
        <f t="shared" si="45"/>
        <v>4364.9948000000004</v>
      </c>
      <c r="O63" s="16">
        <f t="shared" si="45"/>
        <v>5157</v>
      </c>
      <c r="P63" s="16">
        <f t="shared" si="45"/>
        <v>4382</v>
      </c>
      <c r="Q63" s="16">
        <f t="shared" si="45"/>
        <v>4290</v>
      </c>
      <c r="R63" s="16">
        <f t="shared" si="45"/>
        <v>5485</v>
      </c>
      <c r="S63" s="33">
        <f t="shared" si="45"/>
        <v>5549</v>
      </c>
    </row>
    <row r="64" spans="1:19" x14ac:dyDescent="0.75">
      <c r="B64" s="23" t="s">
        <v>106</v>
      </c>
      <c r="D64" s="23">
        <f>D37</f>
        <v>1.1768522524537131E-2</v>
      </c>
      <c r="E64" s="23">
        <f t="shared" ref="E64:S64" si="46">E37</f>
        <v>1.2999999999999999E-2</v>
      </c>
      <c r="F64" s="23">
        <f t="shared" si="46"/>
        <v>1.7999999999999999E-2</v>
      </c>
      <c r="G64" s="23">
        <f t="shared" si="46"/>
        <v>0.02</v>
      </c>
      <c r="H64" s="23">
        <f t="shared" si="46"/>
        <v>2.4E-2</v>
      </c>
      <c r="I64" s="23">
        <f t="shared" si="46"/>
        <v>2.7E-2</v>
      </c>
      <c r="J64" s="23">
        <f t="shared" si="46"/>
        <v>3.5000000000000003E-2</v>
      </c>
      <c r="K64" s="23">
        <f t="shared" si="46"/>
        <v>1.4999999999999999E-2</v>
      </c>
      <c r="L64" s="23">
        <f t="shared" si="46"/>
        <v>1.2999999999999999E-2</v>
      </c>
      <c r="M64" s="23">
        <f t="shared" si="46"/>
        <v>1.54E-2</v>
      </c>
      <c r="N64" s="32">
        <f t="shared" si="46"/>
        <v>1.4200000000000001E-2</v>
      </c>
      <c r="O64" s="23">
        <f t="shared" si="46"/>
        <v>1.4882429671357167E-2</v>
      </c>
      <c r="P64" s="23">
        <f t="shared" si="46"/>
        <v>1.1394722334903943E-2</v>
      </c>
      <c r="Q64" s="23">
        <f t="shared" si="46"/>
        <v>1.0103507966227434E-2</v>
      </c>
      <c r="R64" s="23">
        <f t="shared" si="46"/>
        <v>1.1710954436897405E-2</v>
      </c>
      <c r="S64" s="32">
        <f t="shared" si="46"/>
        <v>1.0750998213299709E-2</v>
      </c>
    </row>
    <row r="66" spans="1:19" s="71" customFormat="1" x14ac:dyDescent="0.75">
      <c r="A66" s="67"/>
      <c r="B66" s="56" t="s">
        <v>110</v>
      </c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68"/>
      <c r="O66" s="69">
        <f ca="1">O55+O57-O60-O63</f>
        <v>64093.157876454003</v>
      </c>
      <c r="P66" s="69">
        <f t="shared" ref="P66:S66" ca="1" si="47">P55+P57-P60-P63</f>
        <v>71996.258250008046</v>
      </c>
      <c r="Q66" s="69">
        <f t="shared" ca="1" si="47"/>
        <v>84243.408313888154</v>
      </c>
      <c r="R66" s="69">
        <f t="shared" ca="1" si="47"/>
        <v>97009.932999821613</v>
      </c>
      <c r="S66" s="70">
        <f t="shared" ca="1" si="47"/>
        <v>115820.01356595705</v>
      </c>
    </row>
    <row r="67" spans="1:19" x14ac:dyDescent="0.75">
      <c r="B67" s="57" t="s">
        <v>111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26"/>
      <c r="O67" s="82">
        <f ca="1">O66/(1+$D$16)^O38</f>
        <v>62245.884530572708</v>
      </c>
      <c r="P67" s="82">
        <f t="shared" ref="P67:S67" ca="1" si="48">P66/(1+$D$16)^P38</f>
        <v>65392.844914150577</v>
      </c>
      <c r="Q67" s="82">
        <f t="shared" ca="1" si="48"/>
        <v>70848.796827074402</v>
      </c>
      <c r="R67" s="82">
        <f t="shared" ca="1" si="48"/>
        <v>75542.090548868262</v>
      </c>
      <c r="S67" s="82">
        <f t="shared" ca="1" si="48"/>
        <v>83508.878379178219</v>
      </c>
    </row>
    <row r="69" spans="1:19" x14ac:dyDescent="0.75">
      <c r="B69" t="s">
        <v>129</v>
      </c>
      <c r="S69" s="58">
        <f ca="1">(S66)/(D16-D17)</f>
        <v>2316400.2713191407</v>
      </c>
    </row>
    <row r="70" spans="1:19" x14ac:dyDescent="0.75">
      <c r="B70" s="53" t="s">
        <v>130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26"/>
      <c r="O70" s="1"/>
      <c r="P70" s="1"/>
      <c r="Q70" s="1"/>
      <c r="R70" s="1"/>
      <c r="S70" s="83">
        <f ca="1">S69/(1+D16)^S38</f>
        <v>1670177.5675835642</v>
      </c>
    </row>
    <row r="71" spans="1:19" x14ac:dyDescent="0.75">
      <c r="B71" t="s">
        <v>131</v>
      </c>
      <c r="S71" s="58">
        <f ca="1">S70+S67+R67+Q67+O67+P67</f>
        <v>2027716.0627834084</v>
      </c>
    </row>
    <row r="72" spans="1:19" x14ac:dyDescent="0.75">
      <c r="B72" t="s">
        <v>132</v>
      </c>
      <c r="S72" s="84">
        <f>'Balance Sheet'!L2</f>
        <v>110916</v>
      </c>
    </row>
    <row r="73" spans="1:19" x14ac:dyDescent="0.75">
      <c r="B73" s="53" t="s">
        <v>133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26"/>
      <c r="O73" s="1"/>
      <c r="P73" s="1"/>
      <c r="Q73" s="1"/>
      <c r="R73" s="1"/>
      <c r="S73" s="83">
        <f>wacc!D7</f>
        <v>13253</v>
      </c>
    </row>
    <row r="74" spans="1:19" x14ac:dyDescent="0.75">
      <c r="B74" t="s">
        <v>122</v>
      </c>
      <c r="S74" s="58">
        <f ca="1">S71+S72-S73</f>
        <v>2125379.0627834084</v>
      </c>
    </row>
    <row r="75" spans="1:19" x14ac:dyDescent="0.75">
      <c r="S75" s="67"/>
    </row>
    <row r="76" spans="1:19" x14ac:dyDescent="0.75">
      <c r="B76" s="53" t="s">
        <v>40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26"/>
      <c r="O76" s="1"/>
      <c r="P76" s="1"/>
      <c r="Q76" s="1"/>
      <c r="R76" s="1"/>
      <c r="S76" s="86">
        <f>'Income Statements'!B19</f>
        <v>13314</v>
      </c>
    </row>
    <row r="77" spans="1:19" x14ac:dyDescent="0.75">
      <c r="B77" s="53" t="s">
        <v>134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6"/>
      <c r="O77" s="1"/>
      <c r="P77" s="1"/>
      <c r="Q77" s="1"/>
      <c r="R77" s="1"/>
      <c r="S77" s="85">
        <f ca="1">S74/S76</f>
        <v>159.63490031421125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6D4F-8DEE-4F77-87DA-92A3594EBCDC}">
  <dimension ref="A1:I21"/>
  <sheetViews>
    <sheetView workbookViewId="0">
      <selection activeCell="B9" sqref="B9"/>
    </sheetView>
  </sheetViews>
  <sheetFormatPr defaultRowHeight="14.75" x14ac:dyDescent="0.75"/>
  <cols>
    <col min="1" max="1" width="1.5" bestFit="1" customWidth="1"/>
    <col min="2" max="2" width="68.40625" bestFit="1" customWidth="1"/>
    <col min="4" max="4" width="13.40625" bestFit="1" customWidth="1"/>
  </cols>
  <sheetData>
    <row r="1" spans="1:9" ht="21.75" x14ac:dyDescent="1.1000000000000001">
      <c r="A1" s="1"/>
      <c r="B1" s="72" t="s">
        <v>18</v>
      </c>
      <c r="C1" s="1"/>
      <c r="D1" s="1"/>
      <c r="E1" s="1"/>
      <c r="F1" s="1"/>
      <c r="G1" s="1"/>
      <c r="H1" s="1"/>
      <c r="I1" s="1"/>
    </row>
    <row r="3" spans="1:9" x14ac:dyDescent="0.75">
      <c r="A3" t="s">
        <v>115</v>
      </c>
      <c r="B3" s="73" t="s">
        <v>18</v>
      </c>
      <c r="C3" s="74"/>
      <c r="D3" s="74"/>
      <c r="E3" s="74"/>
      <c r="F3" s="74"/>
      <c r="G3" s="74"/>
      <c r="H3" s="74"/>
      <c r="I3" s="74"/>
    </row>
    <row r="4" spans="1:9" x14ac:dyDescent="0.75">
      <c r="B4" s="71" t="s">
        <v>116</v>
      </c>
    </row>
    <row r="5" spans="1:9" x14ac:dyDescent="0.75">
      <c r="B5" s="71" t="s">
        <v>117</v>
      </c>
    </row>
    <row r="7" spans="1:9" x14ac:dyDescent="0.75">
      <c r="B7" t="s">
        <v>118</v>
      </c>
      <c r="D7" s="75">
        <f>'Balance Sheet'!L15</f>
        <v>13253</v>
      </c>
    </row>
    <row r="8" spans="1:9" x14ac:dyDescent="0.75">
      <c r="B8" t="s">
        <v>119</v>
      </c>
      <c r="D8" s="76">
        <f>D7/(D7+D12)</f>
        <v>6.0380900562110517E-3</v>
      </c>
    </row>
    <row r="9" spans="1:9" x14ac:dyDescent="0.75">
      <c r="B9" t="s">
        <v>120</v>
      </c>
      <c r="D9" s="76">
        <v>1.4999999999999999E-2</v>
      </c>
    </row>
    <row r="10" spans="1:9" x14ac:dyDescent="0.75">
      <c r="B10" t="s">
        <v>121</v>
      </c>
      <c r="D10" s="76">
        <v>0.1643</v>
      </c>
    </row>
    <row r="12" spans="1:9" x14ac:dyDescent="0.75">
      <c r="B12" t="s">
        <v>122</v>
      </c>
      <c r="D12" s="81">
        <v>2181646.36</v>
      </c>
    </row>
    <row r="13" spans="1:9" x14ac:dyDescent="0.75">
      <c r="B13" t="s">
        <v>123</v>
      </c>
      <c r="D13" s="76">
        <f>D12/(D12+D7)</f>
        <v>0.99396190994378897</v>
      </c>
    </row>
    <row r="14" spans="1:9" x14ac:dyDescent="0.75">
      <c r="B14" t="s">
        <v>124</v>
      </c>
      <c r="D14" s="76">
        <f>D15+D16*D17</f>
        <v>9.8039999999999988E-2</v>
      </c>
    </row>
    <row r="15" spans="1:9" x14ac:dyDescent="0.75">
      <c r="B15" t="s">
        <v>125</v>
      </c>
      <c r="D15" s="76">
        <v>4.4999999999999998E-2</v>
      </c>
    </row>
    <row r="16" spans="1:9" x14ac:dyDescent="0.75">
      <c r="B16" t="s">
        <v>126</v>
      </c>
      <c r="D16" s="77">
        <v>1.02</v>
      </c>
    </row>
    <row r="17" spans="1:4" x14ac:dyDescent="0.75">
      <c r="B17" t="s">
        <v>127</v>
      </c>
      <c r="D17" s="76">
        <v>5.1999999999999998E-2</v>
      </c>
    </row>
    <row r="18" spans="1:4" x14ac:dyDescent="0.75">
      <c r="D18" s="17"/>
    </row>
    <row r="19" spans="1:4" x14ac:dyDescent="0.75">
      <c r="B19" t="s">
        <v>128</v>
      </c>
      <c r="D19" s="75">
        <f>D12+D7</f>
        <v>2194899.36</v>
      </c>
    </row>
    <row r="21" spans="1:4" x14ac:dyDescent="0.75">
      <c r="A21" t="s">
        <v>115</v>
      </c>
      <c r="B21" s="78" t="s">
        <v>18</v>
      </c>
      <c r="C21" s="79"/>
      <c r="D21" s="80">
        <v>0.08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68E0-0178-43CB-B55B-0BA0DCC6353A}">
  <dimension ref="A1:N23"/>
  <sheetViews>
    <sheetView workbookViewId="0">
      <selection activeCell="N24" sqref="N24"/>
    </sheetView>
  </sheetViews>
  <sheetFormatPr defaultRowHeight="14.75" x14ac:dyDescent="0.75"/>
  <cols>
    <col min="1" max="1" width="40.54296875" bestFit="1" customWidth="1"/>
    <col min="2" max="12" width="9.953125" bestFit="1" customWidth="1"/>
  </cols>
  <sheetData>
    <row r="1" spans="1:12" s="20" customFormat="1" x14ac:dyDescent="0.75">
      <c r="A1" s="19" t="s">
        <v>22</v>
      </c>
      <c r="B1" s="21">
        <v>41639</v>
      </c>
      <c r="C1" s="21">
        <v>42004</v>
      </c>
      <c r="D1" s="21">
        <v>42369</v>
      </c>
      <c r="E1" s="21">
        <v>42735</v>
      </c>
      <c r="F1" s="21">
        <v>43100</v>
      </c>
      <c r="G1" s="21">
        <v>43465</v>
      </c>
      <c r="H1" s="21">
        <v>43830</v>
      </c>
      <c r="I1" s="21">
        <v>44196</v>
      </c>
      <c r="J1" s="21">
        <v>44561</v>
      </c>
      <c r="K1" s="21">
        <v>44926</v>
      </c>
      <c r="L1" s="21">
        <v>45291</v>
      </c>
    </row>
    <row r="2" spans="1:12" x14ac:dyDescent="0.75">
      <c r="A2" t="s">
        <v>23</v>
      </c>
      <c r="B2" s="16">
        <v>55519</v>
      </c>
      <c r="C2" s="16">
        <v>66001</v>
      </c>
      <c r="D2" s="16">
        <v>74989</v>
      </c>
      <c r="E2" s="16">
        <v>90272</v>
      </c>
      <c r="F2" s="16">
        <v>110855</v>
      </c>
      <c r="G2" s="16">
        <v>136819</v>
      </c>
      <c r="H2" s="16">
        <v>161857</v>
      </c>
      <c r="I2" s="16">
        <v>182527</v>
      </c>
      <c r="J2" s="16">
        <v>257637</v>
      </c>
      <c r="K2" s="16">
        <v>282836</v>
      </c>
      <c r="L2" s="16">
        <v>307394</v>
      </c>
    </row>
    <row r="3" spans="1:12" x14ac:dyDescent="0.75">
      <c r="A3" t="s">
        <v>24</v>
      </c>
      <c r="B3" s="16">
        <v>21993</v>
      </c>
      <c r="C3" s="16">
        <v>25691</v>
      </c>
      <c r="D3" s="16">
        <v>28164</v>
      </c>
      <c r="E3" s="16">
        <v>35138</v>
      </c>
      <c r="F3" s="16">
        <v>45583</v>
      </c>
      <c r="G3" s="16">
        <v>59549</v>
      </c>
      <c r="H3" s="16">
        <v>71896</v>
      </c>
      <c r="I3" s="16">
        <v>84732</v>
      </c>
      <c r="J3" s="16">
        <v>110939</v>
      </c>
      <c r="K3" s="16">
        <v>126203</v>
      </c>
      <c r="L3" s="16">
        <v>133332</v>
      </c>
    </row>
    <row r="4" spans="1:12" x14ac:dyDescent="0.75">
      <c r="A4" t="s">
        <v>25</v>
      </c>
      <c r="B4" s="16">
        <v>33526</v>
      </c>
      <c r="C4" s="16">
        <v>40310</v>
      </c>
      <c r="D4" s="16">
        <v>46825</v>
      </c>
      <c r="E4" s="16">
        <v>55134</v>
      </c>
      <c r="F4" s="16">
        <v>65272</v>
      </c>
      <c r="G4" s="16">
        <v>77270</v>
      </c>
      <c r="H4" s="16">
        <v>89961</v>
      </c>
      <c r="I4" s="16">
        <v>97795</v>
      </c>
      <c r="J4" s="16">
        <v>146698</v>
      </c>
      <c r="K4" s="16">
        <v>156633</v>
      </c>
      <c r="L4" s="16">
        <v>174062</v>
      </c>
    </row>
    <row r="5" spans="1:12" x14ac:dyDescent="0.75">
      <c r="A5" t="s">
        <v>26</v>
      </c>
      <c r="B5" s="16">
        <v>7137</v>
      </c>
      <c r="C5" s="16">
        <v>9832</v>
      </c>
      <c r="D5" s="16">
        <v>12282</v>
      </c>
      <c r="E5" s="16">
        <v>13948</v>
      </c>
      <c r="F5" s="16">
        <v>16625</v>
      </c>
      <c r="G5" s="16">
        <v>21419</v>
      </c>
      <c r="H5" s="16">
        <v>26018</v>
      </c>
      <c r="I5" s="16">
        <v>27573</v>
      </c>
      <c r="J5" s="16">
        <v>31562</v>
      </c>
      <c r="K5" s="16">
        <v>39500</v>
      </c>
      <c r="L5" s="16">
        <v>45427</v>
      </c>
    </row>
    <row r="6" spans="1:12" x14ac:dyDescent="0.75">
      <c r="A6" t="s">
        <v>27</v>
      </c>
      <c r="B6" s="16">
        <v>10986</v>
      </c>
      <c r="C6" s="16">
        <v>13982</v>
      </c>
      <c r="D6" s="16">
        <v>15183</v>
      </c>
      <c r="E6" s="16">
        <v>17470</v>
      </c>
      <c r="F6" s="16">
        <v>19733</v>
      </c>
      <c r="G6" s="16">
        <v>23256</v>
      </c>
      <c r="H6" s="16">
        <v>28015</v>
      </c>
      <c r="I6" s="16">
        <v>28998</v>
      </c>
      <c r="J6" s="16">
        <v>36422</v>
      </c>
      <c r="K6" s="16">
        <v>42291</v>
      </c>
      <c r="L6" s="16">
        <v>44342</v>
      </c>
    </row>
    <row r="7" spans="1:12" x14ac:dyDescent="0.75">
      <c r="A7" t="s">
        <v>28</v>
      </c>
      <c r="F7" s="16">
        <v>-2736</v>
      </c>
      <c r="G7" s="16">
        <v>-5071</v>
      </c>
      <c r="H7" s="16">
        <v>-1697</v>
      </c>
    </row>
    <row r="8" spans="1:12" x14ac:dyDescent="0.75">
      <c r="A8" t="s">
        <v>29</v>
      </c>
      <c r="B8" s="16">
        <v>18123</v>
      </c>
      <c r="C8" s="16">
        <v>23814</v>
      </c>
      <c r="D8" s="16">
        <v>27465</v>
      </c>
      <c r="E8" s="16">
        <v>31418</v>
      </c>
      <c r="F8" s="16">
        <v>39094</v>
      </c>
      <c r="G8" s="16">
        <v>49746</v>
      </c>
      <c r="H8" s="16">
        <v>55730</v>
      </c>
      <c r="I8" s="16">
        <v>56571</v>
      </c>
      <c r="J8" s="16">
        <v>67984</v>
      </c>
      <c r="K8" s="16">
        <v>81791</v>
      </c>
      <c r="L8" s="16">
        <v>89769</v>
      </c>
    </row>
    <row r="9" spans="1:12" x14ac:dyDescent="0.75">
      <c r="A9" t="s">
        <v>30</v>
      </c>
      <c r="B9" s="16">
        <v>15403</v>
      </c>
      <c r="C9" s="16">
        <v>16496</v>
      </c>
      <c r="D9" s="16">
        <v>19360</v>
      </c>
      <c r="E9" s="16">
        <v>23716</v>
      </c>
      <c r="F9" s="16">
        <v>26178</v>
      </c>
      <c r="G9" s="16">
        <v>27524</v>
      </c>
      <c r="H9" s="16">
        <v>34231</v>
      </c>
      <c r="I9" s="16">
        <v>41224</v>
      </c>
      <c r="J9" s="16">
        <v>78714</v>
      </c>
      <c r="K9" s="16">
        <v>74842</v>
      </c>
      <c r="L9" s="16">
        <v>84293</v>
      </c>
    </row>
    <row r="10" spans="1:12" x14ac:dyDescent="0.75">
      <c r="A10" t="s">
        <v>31</v>
      </c>
      <c r="B10" s="16">
        <v>496</v>
      </c>
      <c r="C10" s="16">
        <v>763</v>
      </c>
      <c r="D10" s="16">
        <v>291</v>
      </c>
      <c r="E10" s="16">
        <v>434</v>
      </c>
      <c r="F10" s="16">
        <v>1015</v>
      </c>
      <c r="G10" s="16">
        <v>7389</v>
      </c>
      <c r="H10" s="16">
        <v>5394</v>
      </c>
      <c r="I10" s="16">
        <v>6858</v>
      </c>
      <c r="J10" s="16">
        <v>12020</v>
      </c>
      <c r="K10" s="16">
        <v>-3514</v>
      </c>
      <c r="L10" s="16">
        <v>1424</v>
      </c>
    </row>
    <row r="11" spans="1:12" x14ac:dyDescent="0.75">
      <c r="A11" t="s">
        <v>32</v>
      </c>
      <c r="B11" s="16">
        <v>15899</v>
      </c>
      <c r="C11" s="16">
        <v>17259</v>
      </c>
      <c r="D11" s="16">
        <v>19651</v>
      </c>
      <c r="E11" s="16">
        <v>24150</v>
      </c>
      <c r="F11" s="16">
        <v>27193</v>
      </c>
      <c r="G11" s="16">
        <v>34913</v>
      </c>
      <c r="H11" s="16">
        <v>39625</v>
      </c>
      <c r="I11" s="16">
        <v>48082</v>
      </c>
      <c r="J11" s="16">
        <v>90734</v>
      </c>
      <c r="K11" s="16">
        <v>71328</v>
      </c>
      <c r="L11" s="16">
        <v>85717</v>
      </c>
    </row>
    <row r="12" spans="1:12" x14ac:dyDescent="0.75">
      <c r="A12" t="s">
        <v>33</v>
      </c>
      <c r="B12" s="16">
        <v>2739</v>
      </c>
      <c r="C12" s="16">
        <v>3639</v>
      </c>
      <c r="D12" s="16">
        <v>3303</v>
      </c>
      <c r="E12" s="16">
        <v>4672</v>
      </c>
      <c r="F12" s="16">
        <v>14531</v>
      </c>
      <c r="G12" s="16">
        <v>4177</v>
      </c>
      <c r="H12" s="16">
        <v>5282</v>
      </c>
      <c r="I12" s="16">
        <v>7813</v>
      </c>
      <c r="J12" s="16">
        <v>14701</v>
      </c>
      <c r="K12" s="16">
        <v>11356</v>
      </c>
      <c r="L12" s="16">
        <v>11922</v>
      </c>
    </row>
    <row r="13" spans="1:12" x14ac:dyDescent="0.75">
      <c r="A13" t="s">
        <v>34</v>
      </c>
      <c r="B13" s="16">
        <v>13160</v>
      </c>
      <c r="C13" s="16">
        <v>13620</v>
      </c>
      <c r="D13" s="16">
        <v>16348</v>
      </c>
      <c r="E13" s="16">
        <v>19478</v>
      </c>
      <c r="F13" s="16">
        <v>12662</v>
      </c>
      <c r="G13" s="16">
        <v>30736</v>
      </c>
      <c r="H13" s="16">
        <v>34343</v>
      </c>
      <c r="I13" s="16">
        <v>40269</v>
      </c>
      <c r="J13" s="16">
        <v>76033</v>
      </c>
      <c r="K13" s="16">
        <v>59972</v>
      </c>
      <c r="L13" s="16">
        <v>73795</v>
      </c>
    </row>
    <row r="14" spans="1:12" x14ac:dyDescent="0.75">
      <c r="A14" t="s">
        <v>35</v>
      </c>
      <c r="B14" s="16">
        <v>13160</v>
      </c>
      <c r="C14" s="16">
        <v>13620</v>
      </c>
      <c r="D14" s="16">
        <v>16348</v>
      </c>
      <c r="E14" s="16">
        <v>19478</v>
      </c>
      <c r="F14" s="16">
        <v>12662</v>
      </c>
      <c r="G14" s="16">
        <v>30736</v>
      </c>
      <c r="H14" s="16">
        <v>34343</v>
      </c>
      <c r="I14" s="16">
        <v>40269</v>
      </c>
      <c r="J14" s="16">
        <v>76033</v>
      </c>
      <c r="K14" s="16">
        <v>59972</v>
      </c>
      <c r="L14" s="16">
        <v>73795</v>
      </c>
    </row>
    <row r="15" spans="1:12" x14ac:dyDescent="0.75">
      <c r="A15" t="s">
        <v>36</v>
      </c>
      <c r="B15" s="16">
        <v>-427</v>
      </c>
      <c r="C15" s="16">
        <v>516</v>
      </c>
    </row>
    <row r="16" spans="1:12" x14ac:dyDescent="0.75">
      <c r="A16" t="s">
        <v>37</v>
      </c>
      <c r="B16" s="16">
        <v>12733</v>
      </c>
      <c r="C16" s="16">
        <v>14136</v>
      </c>
      <c r="D16" s="16">
        <v>15826</v>
      </c>
      <c r="E16" s="16">
        <v>19478</v>
      </c>
      <c r="F16" s="16">
        <v>12662</v>
      </c>
      <c r="G16" s="16">
        <v>30736</v>
      </c>
      <c r="H16" s="16">
        <v>34343</v>
      </c>
      <c r="I16" s="16">
        <v>40269</v>
      </c>
      <c r="J16" s="16">
        <v>76033</v>
      </c>
      <c r="K16" s="16">
        <v>59972</v>
      </c>
      <c r="L16" s="16">
        <v>73795</v>
      </c>
    </row>
    <row r="17" spans="1:14" x14ac:dyDescent="0.75">
      <c r="A17" t="s">
        <v>38</v>
      </c>
      <c r="B17" s="16">
        <v>19342</v>
      </c>
      <c r="C17" s="16">
        <v>21475</v>
      </c>
      <c r="D17" s="16">
        <v>24423</v>
      </c>
      <c r="E17" s="16">
        <v>29860</v>
      </c>
      <c r="F17" s="16">
        <v>33093</v>
      </c>
      <c r="G17" s="16">
        <v>36559</v>
      </c>
      <c r="H17" s="16">
        <v>46012</v>
      </c>
      <c r="I17" s="16">
        <v>54921</v>
      </c>
      <c r="J17" s="16">
        <v>88987</v>
      </c>
      <c r="K17" s="16">
        <v>88317</v>
      </c>
      <c r="L17" s="16">
        <v>96239</v>
      </c>
    </row>
    <row r="18" spans="1:14" x14ac:dyDescent="0.75">
      <c r="A18" t="s">
        <v>17</v>
      </c>
      <c r="B18" s="16">
        <v>15403</v>
      </c>
      <c r="C18" s="16">
        <v>16496</v>
      </c>
      <c r="D18" s="16">
        <v>19360</v>
      </c>
      <c r="E18" s="16">
        <v>23716</v>
      </c>
      <c r="F18" s="16">
        <v>26178</v>
      </c>
      <c r="G18" s="16">
        <v>27524</v>
      </c>
      <c r="H18" s="16">
        <v>34231</v>
      </c>
      <c r="I18" s="16">
        <v>41224</v>
      </c>
      <c r="J18" s="16">
        <v>78714</v>
      </c>
      <c r="K18" s="16">
        <v>74842</v>
      </c>
      <c r="L18" s="16">
        <v>84293</v>
      </c>
    </row>
    <row r="19" spans="1:14" x14ac:dyDescent="0.75">
      <c r="A19" t="s">
        <v>39</v>
      </c>
      <c r="B19" s="17">
        <v>13314</v>
      </c>
      <c r="C19" s="17">
        <v>13519</v>
      </c>
      <c r="D19" s="17">
        <v>13693</v>
      </c>
      <c r="E19" s="17">
        <v>13756</v>
      </c>
      <c r="F19" s="17">
        <v>13858</v>
      </c>
      <c r="G19" s="17">
        <v>13903</v>
      </c>
      <c r="H19" s="17">
        <v>13852</v>
      </c>
      <c r="I19" s="17">
        <v>13616</v>
      </c>
      <c r="J19" s="17">
        <v>13353</v>
      </c>
      <c r="K19" s="17">
        <v>13063</v>
      </c>
      <c r="L19" s="17">
        <v>12630</v>
      </c>
    </row>
    <row r="20" spans="1:14" x14ac:dyDescent="0.75">
      <c r="A20" t="s">
        <v>40</v>
      </c>
      <c r="B20" s="17">
        <v>14739</v>
      </c>
      <c r="C20" s="17">
        <v>14840</v>
      </c>
      <c r="D20" s="17">
        <v>14894</v>
      </c>
      <c r="E20" s="17">
        <v>14951</v>
      </c>
      <c r="F20" s="17">
        <v>15015</v>
      </c>
      <c r="G20" s="17">
        <v>15003</v>
      </c>
      <c r="H20" s="17">
        <v>14902</v>
      </c>
      <c r="I20" s="17">
        <v>14665</v>
      </c>
      <c r="J20" s="17">
        <v>14462</v>
      </c>
      <c r="K20" s="17">
        <v>14046</v>
      </c>
      <c r="L20" s="17">
        <v>13599</v>
      </c>
    </row>
    <row r="21" spans="1:14" x14ac:dyDescent="0.75">
      <c r="A21" t="s">
        <v>41</v>
      </c>
      <c r="B21" s="18">
        <v>0.96</v>
      </c>
      <c r="C21" s="18">
        <v>1.05</v>
      </c>
      <c r="D21" s="18">
        <v>1.1599999999999999</v>
      </c>
      <c r="E21" s="18">
        <v>1.42</v>
      </c>
      <c r="F21" s="18">
        <v>0.91</v>
      </c>
      <c r="G21" s="18">
        <v>2.21</v>
      </c>
      <c r="H21" s="18">
        <v>2.48</v>
      </c>
      <c r="I21" s="18">
        <v>2.96</v>
      </c>
      <c r="J21" s="18">
        <v>5.69</v>
      </c>
      <c r="K21" s="18">
        <v>4.59</v>
      </c>
      <c r="L21" s="18">
        <v>5.84</v>
      </c>
    </row>
    <row r="23" spans="1:14" s="23" customFormat="1" x14ac:dyDescent="0.75">
      <c r="A23" s="23" t="s">
        <v>20</v>
      </c>
      <c r="B23" s="23">
        <f>B12/B2</f>
        <v>4.933446207604604E-2</v>
      </c>
      <c r="C23" s="23">
        <f t="shared" ref="C23:L23" si="0">C12/C2</f>
        <v>5.5135528249571977E-2</v>
      </c>
      <c r="D23" s="23">
        <f t="shared" si="0"/>
        <v>4.4046460147488295E-2</v>
      </c>
      <c r="E23" s="23">
        <f t="shared" si="0"/>
        <v>5.175469691598724E-2</v>
      </c>
      <c r="F23" s="23">
        <f t="shared" si="0"/>
        <v>0.13108114203238463</v>
      </c>
      <c r="G23" s="23">
        <f t="shared" si="0"/>
        <v>3.0529385538558242E-2</v>
      </c>
      <c r="H23" s="23">
        <f t="shared" si="0"/>
        <v>3.2633744601716329E-2</v>
      </c>
      <c r="I23" s="23">
        <f t="shared" si="0"/>
        <v>4.2804626164896151E-2</v>
      </c>
      <c r="J23" s="23">
        <f t="shared" si="0"/>
        <v>5.7060903519292647E-2</v>
      </c>
      <c r="K23" s="23">
        <f t="shared" si="0"/>
        <v>4.0150475894157746E-2</v>
      </c>
      <c r="L23" s="23">
        <f t="shared" si="0"/>
        <v>3.8784101186099922E-2</v>
      </c>
      <c r="N23" s="23">
        <f>AVERAGE(H23:L23)</f>
        <v>4.2286770273232563E-2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EF824-F8BC-4EF1-B1D4-2B0A33DC7FEC}">
  <dimension ref="A1:M26"/>
  <sheetViews>
    <sheetView workbookViewId="0">
      <selection activeCell="M18" sqref="M18"/>
    </sheetView>
  </sheetViews>
  <sheetFormatPr defaultRowHeight="14.75" x14ac:dyDescent="0.75"/>
  <cols>
    <col min="1" max="1" width="40.54296875" bestFit="1" customWidth="1"/>
    <col min="2" max="12" width="9.953125" bestFit="1" customWidth="1"/>
  </cols>
  <sheetData>
    <row r="1" spans="1:12" s="20" customFormat="1" x14ac:dyDescent="0.75">
      <c r="A1" s="20" t="s">
        <v>22</v>
      </c>
      <c r="B1" s="21">
        <v>41639</v>
      </c>
      <c r="C1" s="21">
        <v>42004</v>
      </c>
      <c r="D1" s="21">
        <v>42369</v>
      </c>
      <c r="E1" s="21">
        <v>42735</v>
      </c>
      <c r="F1" s="21">
        <v>43100</v>
      </c>
      <c r="G1" s="21">
        <v>43465</v>
      </c>
      <c r="H1" s="21">
        <v>43830</v>
      </c>
      <c r="I1" s="21">
        <v>44196</v>
      </c>
      <c r="J1" s="21">
        <v>44561</v>
      </c>
      <c r="K1" s="21">
        <v>44926</v>
      </c>
      <c r="L1" s="21">
        <v>45291</v>
      </c>
    </row>
    <row r="2" spans="1:12" x14ac:dyDescent="0.75">
      <c r="A2" t="s">
        <v>42</v>
      </c>
      <c r="B2" s="16">
        <v>58717</v>
      </c>
      <c r="C2" s="16">
        <v>64395</v>
      </c>
      <c r="D2" s="16">
        <v>73066</v>
      </c>
      <c r="E2" s="16">
        <v>86333</v>
      </c>
      <c r="F2" s="16">
        <v>101871</v>
      </c>
      <c r="G2" s="16">
        <v>109140</v>
      </c>
      <c r="H2" s="16">
        <v>119675</v>
      </c>
      <c r="I2" s="16">
        <v>136694</v>
      </c>
      <c r="J2" s="16">
        <v>139649</v>
      </c>
      <c r="K2" s="16">
        <v>113762</v>
      </c>
      <c r="L2" s="16">
        <v>110916</v>
      </c>
    </row>
    <row r="3" spans="1:12" x14ac:dyDescent="0.75">
      <c r="A3" t="s">
        <v>43</v>
      </c>
      <c r="B3" s="16">
        <v>9390</v>
      </c>
      <c r="C3" s="16">
        <v>10849</v>
      </c>
      <c r="D3" s="16">
        <v>13909</v>
      </c>
      <c r="E3" s="16">
        <v>14232</v>
      </c>
      <c r="F3" s="16">
        <v>18705</v>
      </c>
      <c r="G3" s="16">
        <v>21193</v>
      </c>
      <c r="H3" s="16">
        <v>27492</v>
      </c>
      <c r="I3" s="16">
        <v>31384</v>
      </c>
      <c r="J3" s="16">
        <v>39304</v>
      </c>
      <c r="K3" s="16">
        <v>40258</v>
      </c>
      <c r="L3" s="16">
        <v>47964</v>
      </c>
    </row>
    <row r="4" spans="1:12" x14ac:dyDescent="0.75">
      <c r="A4" t="s">
        <v>44</v>
      </c>
      <c r="D4" s="16">
        <v>491</v>
      </c>
      <c r="E4" s="16">
        <v>268</v>
      </c>
      <c r="F4" s="16">
        <v>749</v>
      </c>
      <c r="G4" s="16">
        <v>1107</v>
      </c>
      <c r="H4" s="16">
        <v>999</v>
      </c>
      <c r="I4" s="16">
        <v>728</v>
      </c>
      <c r="J4" s="16">
        <v>1170</v>
      </c>
    </row>
    <row r="5" spans="1:12" x14ac:dyDescent="0.75">
      <c r="A5" t="s">
        <v>45</v>
      </c>
      <c r="B5" s="16">
        <v>3253</v>
      </c>
      <c r="C5" s="16">
        <v>3412</v>
      </c>
      <c r="D5" s="16">
        <v>2648</v>
      </c>
    </row>
    <row r="6" spans="1:12" x14ac:dyDescent="0.75">
      <c r="A6" t="s">
        <v>46</v>
      </c>
      <c r="E6" s="16">
        <v>4575</v>
      </c>
      <c r="F6" s="16">
        <v>2983</v>
      </c>
      <c r="G6" s="16">
        <v>4236</v>
      </c>
      <c r="H6" s="16">
        <v>4412</v>
      </c>
      <c r="I6" s="16">
        <v>5490</v>
      </c>
      <c r="J6" s="16">
        <v>8020</v>
      </c>
      <c r="K6" s="16">
        <v>10775</v>
      </c>
      <c r="L6" s="16">
        <v>12650</v>
      </c>
    </row>
    <row r="7" spans="1:12" x14ac:dyDescent="0.75">
      <c r="A7" t="s">
        <v>47</v>
      </c>
      <c r="B7" s="16">
        <v>72886</v>
      </c>
      <c r="C7" s="16">
        <v>78656</v>
      </c>
      <c r="D7" s="16">
        <v>90114</v>
      </c>
      <c r="E7" s="16">
        <v>105408</v>
      </c>
      <c r="F7" s="16">
        <v>124308</v>
      </c>
      <c r="G7" s="16">
        <v>135676</v>
      </c>
      <c r="H7" s="16">
        <v>152578</v>
      </c>
      <c r="I7" s="16">
        <v>174296</v>
      </c>
      <c r="J7" s="16">
        <v>188143</v>
      </c>
      <c r="K7" s="16">
        <v>164795</v>
      </c>
      <c r="L7" s="16">
        <v>171530</v>
      </c>
    </row>
    <row r="8" spans="1:12" x14ac:dyDescent="0.75">
      <c r="A8" t="s">
        <v>48</v>
      </c>
      <c r="B8" s="16">
        <v>16524</v>
      </c>
      <c r="C8" s="16">
        <v>23883</v>
      </c>
      <c r="D8" s="16">
        <v>29016</v>
      </c>
      <c r="E8" s="16">
        <v>34234</v>
      </c>
      <c r="F8" s="16">
        <v>42383</v>
      </c>
      <c r="G8" s="16">
        <v>59719</v>
      </c>
      <c r="H8" s="16">
        <v>73646</v>
      </c>
      <c r="I8" s="16">
        <v>84749</v>
      </c>
      <c r="J8" s="16">
        <v>97599</v>
      </c>
      <c r="K8" s="16">
        <v>112668</v>
      </c>
      <c r="L8" s="16">
        <v>134345</v>
      </c>
    </row>
    <row r="9" spans="1:12" x14ac:dyDescent="0.75">
      <c r="A9" t="s">
        <v>49</v>
      </c>
      <c r="B9" s="16">
        <v>1976</v>
      </c>
      <c r="C9" s="16">
        <v>3079</v>
      </c>
      <c r="D9" s="16">
        <v>5183</v>
      </c>
      <c r="E9" s="16">
        <v>5878</v>
      </c>
      <c r="F9" s="16">
        <v>7813</v>
      </c>
      <c r="G9" s="16">
        <v>13859</v>
      </c>
      <c r="H9" s="16">
        <v>13078</v>
      </c>
      <c r="I9" s="16">
        <v>20703</v>
      </c>
      <c r="J9" s="16">
        <v>29549</v>
      </c>
      <c r="K9" s="16">
        <v>30492</v>
      </c>
      <c r="L9" s="16">
        <v>31008</v>
      </c>
    </row>
    <row r="10" spans="1:12" x14ac:dyDescent="0.75">
      <c r="A10" t="s">
        <v>50</v>
      </c>
      <c r="B10" s="16">
        <v>17558</v>
      </c>
      <c r="C10" s="16">
        <v>20206</v>
      </c>
      <c r="D10" s="16">
        <v>19716</v>
      </c>
      <c r="E10" s="16">
        <v>19775</v>
      </c>
      <c r="F10" s="16">
        <v>19439</v>
      </c>
      <c r="G10" s="16">
        <v>20108</v>
      </c>
      <c r="H10" s="16">
        <v>22603</v>
      </c>
      <c r="I10" s="16">
        <v>22620</v>
      </c>
      <c r="J10" s="16">
        <v>24373</v>
      </c>
      <c r="K10" s="16">
        <v>28960</v>
      </c>
      <c r="L10" s="16">
        <v>29198</v>
      </c>
    </row>
    <row r="11" spans="1:12" x14ac:dyDescent="0.75">
      <c r="A11" t="s">
        <v>51</v>
      </c>
      <c r="B11" s="16">
        <v>1976</v>
      </c>
      <c r="C11" s="16">
        <v>3187</v>
      </c>
      <c r="D11" s="16">
        <v>3181</v>
      </c>
      <c r="E11" s="16">
        <v>1819</v>
      </c>
      <c r="F11" s="16">
        <v>2672</v>
      </c>
      <c r="G11" s="16">
        <v>2693</v>
      </c>
      <c r="H11" s="16">
        <v>2342</v>
      </c>
      <c r="I11" s="16">
        <v>3953</v>
      </c>
      <c r="J11" s="16">
        <v>5361</v>
      </c>
      <c r="K11" s="16">
        <v>8707</v>
      </c>
      <c r="L11" s="16">
        <v>10051</v>
      </c>
    </row>
    <row r="12" spans="1:12" x14ac:dyDescent="0.75">
      <c r="A12" t="s">
        <v>52</v>
      </c>
      <c r="B12" s="16">
        <v>38034</v>
      </c>
      <c r="C12" s="16">
        <v>50531</v>
      </c>
      <c r="D12" s="16">
        <v>57347</v>
      </c>
      <c r="E12" s="16">
        <v>62089</v>
      </c>
      <c r="F12" s="16">
        <v>72987</v>
      </c>
      <c r="G12" s="16">
        <v>97116</v>
      </c>
      <c r="H12" s="16">
        <v>123331</v>
      </c>
      <c r="I12" s="16">
        <v>145320</v>
      </c>
      <c r="J12" s="16">
        <v>171125</v>
      </c>
      <c r="K12" s="16">
        <v>200469</v>
      </c>
      <c r="L12" s="16">
        <v>230862</v>
      </c>
    </row>
    <row r="13" spans="1:12" x14ac:dyDescent="0.75">
      <c r="A13" t="s">
        <v>53</v>
      </c>
      <c r="B13" s="16">
        <v>110920</v>
      </c>
      <c r="C13" s="16">
        <v>129187</v>
      </c>
      <c r="D13" s="16">
        <v>147461</v>
      </c>
      <c r="E13" s="16">
        <v>167497</v>
      </c>
      <c r="F13" s="16">
        <v>197295</v>
      </c>
      <c r="G13" s="16">
        <v>232792</v>
      </c>
      <c r="H13" s="16">
        <v>275909</v>
      </c>
      <c r="I13" s="16">
        <v>319616</v>
      </c>
      <c r="J13" s="16">
        <v>359268</v>
      </c>
      <c r="K13" s="16">
        <v>365264</v>
      </c>
      <c r="L13" s="16">
        <v>402392</v>
      </c>
    </row>
    <row r="14" spans="1:12" x14ac:dyDescent="0.75">
      <c r="A14" t="s">
        <v>54</v>
      </c>
      <c r="B14" s="16">
        <v>15908</v>
      </c>
      <c r="C14" s="16">
        <v>16779</v>
      </c>
      <c r="D14" s="16">
        <v>19310</v>
      </c>
      <c r="E14" s="16">
        <v>16756</v>
      </c>
      <c r="F14" s="16">
        <v>24183</v>
      </c>
      <c r="G14" s="16">
        <v>34620</v>
      </c>
      <c r="H14" s="16">
        <v>45221</v>
      </c>
      <c r="I14" s="16">
        <v>56834</v>
      </c>
      <c r="J14" s="16">
        <v>64254</v>
      </c>
      <c r="K14" s="16">
        <v>69300</v>
      </c>
      <c r="L14" s="16">
        <v>81814</v>
      </c>
    </row>
    <row r="15" spans="1:12" x14ac:dyDescent="0.75">
      <c r="A15" t="s">
        <v>55</v>
      </c>
      <c r="B15" s="16">
        <v>2236</v>
      </c>
      <c r="C15" s="16">
        <v>3228</v>
      </c>
      <c r="D15" s="16">
        <v>1995</v>
      </c>
      <c r="E15" s="16">
        <v>3935</v>
      </c>
      <c r="F15" s="16">
        <v>3969</v>
      </c>
      <c r="G15" s="16">
        <v>4012</v>
      </c>
      <c r="H15" s="16">
        <v>4554</v>
      </c>
      <c r="I15" s="16">
        <v>13932</v>
      </c>
      <c r="J15" s="16">
        <v>14817</v>
      </c>
      <c r="K15" s="16">
        <v>14701</v>
      </c>
      <c r="L15" s="16">
        <v>13253</v>
      </c>
    </row>
    <row r="16" spans="1:12" x14ac:dyDescent="0.75">
      <c r="A16" t="s">
        <v>56</v>
      </c>
      <c r="B16" s="16">
        <v>3381</v>
      </c>
      <c r="C16" s="16">
        <v>4458</v>
      </c>
      <c r="D16" s="16">
        <v>5485</v>
      </c>
      <c r="E16" s="16">
        <v>7342</v>
      </c>
      <c r="F16" s="16">
        <v>15871</v>
      </c>
      <c r="G16" s="16">
        <v>14872</v>
      </c>
      <c r="H16" s="16">
        <v>12419</v>
      </c>
      <c r="I16" s="16">
        <v>11118</v>
      </c>
      <c r="J16" s="16">
        <v>11381</v>
      </c>
      <c r="K16" s="16">
        <v>11505</v>
      </c>
      <c r="L16" s="16">
        <v>10090</v>
      </c>
    </row>
    <row r="17" spans="1:13" x14ac:dyDescent="0.75">
      <c r="A17" t="s">
        <v>57</v>
      </c>
      <c r="B17" s="16">
        <v>7703</v>
      </c>
      <c r="C17" s="16">
        <v>8548</v>
      </c>
      <c r="D17" s="16">
        <v>7820</v>
      </c>
      <c r="E17" s="16">
        <v>11705</v>
      </c>
      <c r="F17" s="16">
        <v>20610</v>
      </c>
      <c r="G17" s="16">
        <v>20544</v>
      </c>
      <c r="H17" s="16">
        <v>29246</v>
      </c>
      <c r="I17" s="16">
        <v>40238</v>
      </c>
      <c r="J17" s="16">
        <v>43379</v>
      </c>
      <c r="K17" s="16">
        <v>39820</v>
      </c>
      <c r="L17" s="16">
        <v>37199</v>
      </c>
    </row>
    <row r="18" spans="1:13" x14ac:dyDescent="0.75">
      <c r="A18" t="s">
        <v>58</v>
      </c>
      <c r="B18" s="16">
        <v>23611</v>
      </c>
      <c r="C18" t="s">
        <v>60</v>
      </c>
      <c r="D18" s="16">
        <v>27130</v>
      </c>
      <c r="E18" s="16">
        <v>28461</v>
      </c>
      <c r="F18" s="16">
        <v>44793</v>
      </c>
      <c r="G18" t="s">
        <v>59</v>
      </c>
      <c r="H18" s="16">
        <v>74467</v>
      </c>
      <c r="I18" s="16">
        <v>97072</v>
      </c>
      <c r="J18" s="16">
        <v>107633</v>
      </c>
      <c r="K18" s="16">
        <v>109120</v>
      </c>
      <c r="L18" s="16">
        <v>119013</v>
      </c>
      <c r="M18" s="16">
        <v>4</v>
      </c>
    </row>
    <row r="19" spans="1:13" x14ac:dyDescent="0.75">
      <c r="A19" t="s">
        <v>61</v>
      </c>
      <c r="B19" s="18">
        <v>0.67200000000000004</v>
      </c>
      <c r="C19" s="18">
        <v>0.68</v>
      </c>
      <c r="D19" s="18">
        <v>0.68799999999999994</v>
      </c>
      <c r="E19" s="18">
        <v>0.69099999999999995</v>
      </c>
      <c r="F19" s="18">
        <v>0.69399999999999995</v>
      </c>
      <c r="G19" s="18">
        <v>0.69599999999999995</v>
      </c>
      <c r="H19" s="18">
        <v>0.68799999999999994</v>
      </c>
      <c r="I19" s="18">
        <v>0.67600000000000005</v>
      </c>
      <c r="J19" s="16">
        <v>13242</v>
      </c>
      <c r="K19" s="16">
        <v>12849</v>
      </c>
      <c r="L19" s="16">
        <v>12460</v>
      </c>
    </row>
    <row r="20" spans="1:13" x14ac:dyDescent="0.75">
      <c r="A20" t="s">
        <v>62</v>
      </c>
      <c r="B20" s="16">
        <v>61262</v>
      </c>
      <c r="C20" s="16">
        <v>75066</v>
      </c>
      <c r="D20" s="16">
        <v>89223</v>
      </c>
      <c r="E20" s="16">
        <v>105131</v>
      </c>
      <c r="F20" s="16">
        <v>113247</v>
      </c>
      <c r="G20" s="16">
        <v>134885</v>
      </c>
      <c r="H20" s="16">
        <v>152122</v>
      </c>
      <c r="I20" s="16">
        <v>163401</v>
      </c>
      <c r="J20" s="16">
        <v>191484</v>
      </c>
      <c r="K20" s="16">
        <v>195563</v>
      </c>
      <c r="L20" s="16">
        <v>211247</v>
      </c>
    </row>
    <row r="21" spans="1:13" x14ac:dyDescent="0.75">
      <c r="A21" t="s">
        <v>63</v>
      </c>
      <c r="B21" s="16">
        <v>125</v>
      </c>
      <c r="C21" s="16">
        <v>27</v>
      </c>
      <c r="D21" s="16">
        <v>-1874</v>
      </c>
      <c r="E21" s="16">
        <v>-2402</v>
      </c>
      <c r="F21" s="16">
        <v>-992</v>
      </c>
      <c r="G21" s="16">
        <v>-2306</v>
      </c>
      <c r="H21" s="16">
        <v>-1232</v>
      </c>
      <c r="I21" s="16">
        <v>633</v>
      </c>
      <c r="J21" s="16">
        <v>-1623</v>
      </c>
      <c r="K21" s="16">
        <v>-7603</v>
      </c>
      <c r="L21" s="16">
        <v>-4402</v>
      </c>
    </row>
    <row r="22" spans="1:13" x14ac:dyDescent="0.75">
      <c r="A22" t="s">
        <v>66</v>
      </c>
    </row>
    <row r="23" spans="1:13" x14ac:dyDescent="0.75">
      <c r="A23" t="s">
        <v>67</v>
      </c>
      <c r="B23" s="16">
        <v>87309</v>
      </c>
      <c r="C23" s="16">
        <v>103860</v>
      </c>
      <c r="D23" s="16">
        <v>120331</v>
      </c>
      <c r="E23" s="16">
        <v>139036</v>
      </c>
      <c r="F23" s="16">
        <v>152502</v>
      </c>
      <c r="G23" s="16">
        <v>177628</v>
      </c>
      <c r="H23" s="16">
        <v>201442</v>
      </c>
      <c r="I23" s="16">
        <v>222544</v>
      </c>
      <c r="J23" s="16">
        <v>251635</v>
      </c>
      <c r="K23" t="s">
        <v>64</v>
      </c>
      <c r="L23" s="16">
        <v>283379</v>
      </c>
    </row>
    <row r="24" spans="1:13" x14ac:dyDescent="0.75">
      <c r="A24" t="s">
        <v>65</v>
      </c>
      <c r="B24" s="16">
        <v>110920</v>
      </c>
      <c r="C24" s="16">
        <v>129187</v>
      </c>
      <c r="D24" s="16">
        <v>147461</v>
      </c>
      <c r="E24" s="16">
        <v>167497</v>
      </c>
      <c r="F24" s="16">
        <v>197295</v>
      </c>
      <c r="G24" s="16">
        <v>232792</v>
      </c>
      <c r="H24" s="16">
        <v>275909</v>
      </c>
      <c r="I24" s="16">
        <v>319616</v>
      </c>
      <c r="J24" s="16">
        <v>359268</v>
      </c>
      <c r="K24" s="16">
        <v>365264</v>
      </c>
      <c r="L24" s="16">
        <v>402392</v>
      </c>
    </row>
    <row r="26" spans="1:13" x14ac:dyDescent="0.75">
      <c r="A26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B6E00-5F4F-44CD-96DD-F71AE1FCE819}">
  <dimension ref="A1:M29"/>
  <sheetViews>
    <sheetView topLeftCell="A9" workbookViewId="0">
      <selection activeCell="M7" sqref="M7"/>
    </sheetView>
  </sheetViews>
  <sheetFormatPr defaultRowHeight="14.75" x14ac:dyDescent="0.75"/>
  <cols>
    <col min="1" max="1" width="62.26953125" bestFit="1" customWidth="1"/>
    <col min="2" max="12" width="9.953125" bestFit="1" customWidth="1"/>
  </cols>
  <sheetData>
    <row r="1" spans="1:13" s="20" customFormat="1" x14ac:dyDescent="0.75">
      <c r="A1" s="20" t="s">
        <v>22</v>
      </c>
      <c r="B1" s="21">
        <v>41639</v>
      </c>
      <c r="C1" s="21">
        <v>42004</v>
      </c>
      <c r="D1" s="21">
        <v>42369</v>
      </c>
      <c r="E1" s="21">
        <v>42735</v>
      </c>
      <c r="F1" s="21">
        <v>43100</v>
      </c>
      <c r="G1" s="21">
        <v>43465</v>
      </c>
      <c r="H1" s="21">
        <v>43830</v>
      </c>
      <c r="I1" s="21">
        <v>44196</v>
      </c>
      <c r="J1" s="21">
        <v>44561</v>
      </c>
      <c r="K1" s="21">
        <v>44926</v>
      </c>
      <c r="L1" s="21">
        <v>45291</v>
      </c>
    </row>
    <row r="2" spans="1:13" x14ac:dyDescent="0.75">
      <c r="A2" t="s">
        <v>68</v>
      </c>
      <c r="B2" s="16">
        <v>12733</v>
      </c>
      <c r="C2" s="16">
        <v>14136</v>
      </c>
      <c r="D2" s="16">
        <v>16348</v>
      </c>
      <c r="E2" s="16">
        <v>19478</v>
      </c>
      <c r="F2" s="16">
        <v>12662</v>
      </c>
      <c r="G2" s="16">
        <v>30736</v>
      </c>
      <c r="H2" s="16">
        <v>34343</v>
      </c>
      <c r="I2" s="16">
        <v>40269</v>
      </c>
      <c r="J2" s="16">
        <v>76033</v>
      </c>
      <c r="K2" s="16">
        <v>59972</v>
      </c>
      <c r="L2" s="16">
        <v>73795</v>
      </c>
    </row>
    <row r="3" spans="1:13" x14ac:dyDescent="0.75">
      <c r="A3" t="s">
        <v>69</v>
      </c>
      <c r="B3" s="16">
        <v>3939</v>
      </c>
      <c r="C3" s="16">
        <v>4979</v>
      </c>
      <c r="D3" s="16">
        <v>5063</v>
      </c>
      <c r="E3" s="16">
        <v>6144</v>
      </c>
      <c r="F3" s="16">
        <v>6915</v>
      </c>
      <c r="G3" s="16">
        <v>9035</v>
      </c>
      <c r="H3" s="16">
        <v>11781</v>
      </c>
      <c r="I3" s="16">
        <v>13697</v>
      </c>
      <c r="J3" s="16">
        <v>10273</v>
      </c>
      <c r="K3" s="16">
        <v>13475</v>
      </c>
      <c r="L3" s="16">
        <v>11946</v>
      </c>
    </row>
    <row r="4" spans="1:13" x14ac:dyDescent="0.75">
      <c r="A4" t="s">
        <v>70</v>
      </c>
      <c r="B4" s="16">
        <v>1831</v>
      </c>
      <c r="C4" s="16">
        <v>3237</v>
      </c>
      <c r="D4" s="16">
        <v>5570</v>
      </c>
      <c r="E4" s="16">
        <v>7114</v>
      </c>
      <c r="F4" s="16">
        <v>8268</v>
      </c>
      <c r="G4" s="16">
        <v>3292</v>
      </c>
      <c r="H4" s="16">
        <v>7577</v>
      </c>
      <c r="I4" s="16">
        <v>9331</v>
      </c>
      <c r="J4" s="16">
        <v>6869</v>
      </c>
      <c r="K4" s="16">
        <v>20283</v>
      </c>
      <c r="L4" s="16">
        <v>19850</v>
      </c>
    </row>
    <row r="5" spans="1:13" x14ac:dyDescent="0.75">
      <c r="A5" t="s">
        <v>71</v>
      </c>
      <c r="B5" s="16">
        <v>5770</v>
      </c>
      <c r="C5" s="16">
        <v>8216</v>
      </c>
      <c r="D5" s="16">
        <v>10633</v>
      </c>
      <c r="E5" s="16">
        <v>13258</v>
      </c>
      <c r="F5" s="16">
        <v>15183</v>
      </c>
      <c r="G5" s="16">
        <v>12327</v>
      </c>
      <c r="H5" s="16">
        <v>19358</v>
      </c>
      <c r="I5" s="16">
        <v>23028</v>
      </c>
      <c r="J5" s="16">
        <v>17142</v>
      </c>
      <c r="K5" s="16">
        <v>33758</v>
      </c>
      <c r="L5" s="16">
        <v>31796</v>
      </c>
    </row>
    <row r="6" spans="1:13" x14ac:dyDescent="0.75">
      <c r="A6" t="s">
        <v>89</v>
      </c>
      <c r="B6" s="16">
        <v>-1307</v>
      </c>
      <c r="C6" s="16">
        <v>-1641</v>
      </c>
      <c r="D6" s="16">
        <v>-2094</v>
      </c>
      <c r="E6" s="16">
        <v>-2578</v>
      </c>
      <c r="F6" s="16">
        <v>-3768</v>
      </c>
      <c r="G6" s="16">
        <v>-2169</v>
      </c>
      <c r="H6" s="16">
        <v>-4340</v>
      </c>
      <c r="I6" s="16">
        <v>-6524</v>
      </c>
      <c r="J6" s="16">
        <v>-9095</v>
      </c>
      <c r="K6" s="16">
        <v>-2317</v>
      </c>
      <c r="L6" s="16">
        <v>-7833</v>
      </c>
    </row>
    <row r="7" spans="1:13" x14ac:dyDescent="0.75">
      <c r="A7" t="s">
        <v>90</v>
      </c>
      <c r="D7" s="16"/>
      <c r="E7" s="16"/>
      <c r="F7" s="16"/>
      <c r="G7" s="16"/>
      <c r="H7" s="16"/>
      <c r="I7" s="16"/>
      <c r="J7" s="16"/>
      <c r="K7" s="16"/>
      <c r="L7" s="16"/>
      <c r="M7" s="16">
        <f>L8+L6</f>
        <v>-7169</v>
      </c>
    </row>
    <row r="8" spans="1:13" x14ac:dyDescent="0.75">
      <c r="A8" t="s">
        <v>72</v>
      </c>
      <c r="B8" s="16">
        <v>605</v>
      </c>
      <c r="C8" s="16">
        <v>436</v>
      </c>
      <c r="D8" s="16">
        <v>203</v>
      </c>
      <c r="E8" s="16">
        <v>110</v>
      </c>
      <c r="F8" s="16">
        <v>731</v>
      </c>
      <c r="G8" s="16">
        <v>1067</v>
      </c>
      <c r="H8" s="16">
        <v>428</v>
      </c>
      <c r="I8" s="16">
        <v>694</v>
      </c>
      <c r="J8" s="16">
        <v>283</v>
      </c>
      <c r="K8" s="16">
        <v>707</v>
      </c>
      <c r="L8" s="16">
        <v>664</v>
      </c>
    </row>
    <row r="9" spans="1:13" x14ac:dyDescent="0.75">
      <c r="A9" t="s">
        <v>73</v>
      </c>
      <c r="B9" s="16">
        <v>-697</v>
      </c>
      <c r="C9" s="16">
        <v>284</v>
      </c>
      <c r="D9" s="16">
        <v>-275</v>
      </c>
      <c r="E9" s="16">
        <v>535</v>
      </c>
      <c r="F9" s="16">
        <v>-1774</v>
      </c>
      <c r="G9" s="16">
        <v>-836</v>
      </c>
      <c r="H9" s="16">
        <v>-584</v>
      </c>
      <c r="I9" s="16">
        <v>-695</v>
      </c>
      <c r="J9" s="16">
        <v>-1072</v>
      </c>
      <c r="K9" s="16">
        <v>-4679</v>
      </c>
      <c r="L9" s="16">
        <v>-1618</v>
      </c>
    </row>
    <row r="10" spans="1:13" x14ac:dyDescent="0.75">
      <c r="A10" t="s">
        <v>74</v>
      </c>
      <c r="B10" s="16">
        <v>156</v>
      </c>
      <c r="C10" s="16">
        <v>672</v>
      </c>
      <c r="D10" s="16">
        <v>-409</v>
      </c>
      <c r="E10" s="16">
        <v>3300</v>
      </c>
      <c r="F10" s="16">
        <v>9246</v>
      </c>
      <c r="G10" s="16">
        <v>4908</v>
      </c>
      <c r="H10" s="16">
        <v>819</v>
      </c>
      <c r="I10" s="16">
        <v>1827</v>
      </c>
      <c r="J10" s="16">
        <v>-1523</v>
      </c>
      <c r="K10" s="16">
        <v>-2235</v>
      </c>
      <c r="L10" s="16">
        <v>-3845</v>
      </c>
    </row>
    <row r="11" spans="1:13" x14ac:dyDescent="0.75">
      <c r="A11" t="s">
        <v>75</v>
      </c>
      <c r="B11" s="16">
        <v>18659</v>
      </c>
      <c r="C11" s="16">
        <v>23024</v>
      </c>
      <c r="D11" s="16">
        <v>26572</v>
      </c>
      <c r="E11" s="16">
        <v>36036</v>
      </c>
      <c r="F11" s="16">
        <v>37091</v>
      </c>
      <c r="G11" s="16">
        <v>47971</v>
      </c>
      <c r="H11" s="16">
        <v>54520</v>
      </c>
      <c r="I11" s="16">
        <v>65124</v>
      </c>
      <c r="J11" s="16">
        <v>91652</v>
      </c>
      <c r="K11" s="16">
        <v>91495</v>
      </c>
      <c r="L11" s="16">
        <v>101746</v>
      </c>
    </row>
    <row r="12" spans="1:13" x14ac:dyDescent="0.75">
      <c r="A12" t="s">
        <v>76</v>
      </c>
      <c r="B12" s="16">
        <v>-7358</v>
      </c>
      <c r="C12" s="16">
        <v>-10959</v>
      </c>
      <c r="D12" s="16">
        <v>-9915</v>
      </c>
      <c r="E12" s="16">
        <v>-9972</v>
      </c>
      <c r="F12" s="16">
        <v>-13184</v>
      </c>
      <c r="G12" s="16">
        <v>-25139</v>
      </c>
      <c r="H12" s="16">
        <v>-23548</v>
      </c>
      <c r="I12" s="16">
        <v>-22281</v>
      </c>
      <c r="J12" s="16">
        <v>-24640</v>
      </c>
      <c r="K12" s="16">
        <v>-31485</v>
      </c>
      <c r="L12" s="16">
        <v>-32251</v>
      </c>
    </row>
    <row r="13" spans="1:13" x14ac:dyDescent="0.75">
      <c r="A13" t="s">
        <v>91</v>
      </c>
    </row>
    <row r="14" spans="1:13" x14ac:dyDescent="0.75">
      <c r="A14" t="s">
        <v>92</v>
      </c>
      <c r="B14" s="16">
        <v>1077</v>
      </c>
      <c r="C14" s="16">
        <v>-4502</v>
      </c>
      <c r="D14" s="16">
        <v>-236</v>
      </c>
      <c r="E14" s="16">
        <v>-986</v>
      </c>
      <c r="F14" s="16">
        <v>-287</v>
      </c>
      <c r="G14" s="16">
        <v>-1491</v>
      </c>
      <c r="H14" s="16">
        <v>-2515</v>
      </c>
      <c r="I14" s="16">
        <v>-738</v>
      </c>
      <c r="J14" s="16">
        <v>-2618</v>
      </c>
      <c r="K14" s="16">
        <v>-6969</v>
      </c>
      <c r="L14" s="16">
        <v>-495</v>
      </c>
    </row>
    <row r="15" spans="1:13" x14ac:dyDescent="0.75">
      <c r="A15" t="s">
        <v>77</v>
      </c>
      <c r="B15" s="16">
        <v>-7130</v>
      </c>
      <c r="C15" s="16">
        <v>-4995</v>
      </c>
      <c r="D15" s="16">
        <v>-11463</v>
      </c>
      <c r="E15" s="16">
        <v>-17614</v>
      </c>
      <c r="F15" s="16">
        <v>-18236</v>
      </c>
      <c r="G15" s="16">
        <v>-1651</v>
      </c>
      <c r="H15" s="16">
        <v>-2490</v>
      </c>
      <c r="I15" s="16">
        <v>-3670</v>
      </c>
      <c r="J15" s="16">
        <v>-6902</v>
      </c>
      <c r="K15" s="16">
        <v>18948</v>
      </c>
      <c r="L15" s="16">
        <v>8814</v>
      </c>
    </row>
    <row r="16" spans="1:13" x14ac:dyDescent="0.75">
      <c r="A16" t="s">
        <v>78</v>
      </c>
      <c r="B16" s="16">
        <v>31</v>
      </c>
      <c r="C16" s="16">
        <v>-2002</v>
      </c>
      <c r="D16" s="16">
        <v>-1747</v>
      </c>
      <c r="E16" s="16">
        <v>-165</v>
      </c>
      <c r="F16" s="16">
        <v>-1212</v>
      </c>
      <c r="G16" s="16">
        <v>-321</v>
      </c>
      <c r="H16" s="16">
        <v>-1527</v>
      </c>
      <c r="I16" s="16">
        <v>-6152</v>
      </c>
      <c r="J16" s="16">
        <v>-1904</v>
      </c>
      <c r="K16" s="16">
        <v>-2381</v>
      </c>
      <c r="L16" s="16">
        <v>-2080</v>
      </c>
    </row>
    <row r="17" spans="1:12" x14ac:dyDescent="0.75">
      <c r="A17" t="s">
        <v>79</v>
      </c>
      <c r="B17" s="16">
        <v>-7099</v>
      </c>
      <c r="C17" s="16">
        <v>-6997</v>
      </c>
      <c r="D17" s="16">
        <v>-13210</v>
      </c>
      <c r="E17" s="16">
        <v>-17779</v>
      </c>
      <c r="F17" s="16">
        <v>-19448</v>
      </c>
      <c r="G17" s="16">
        <v>-1972</v>
      </c>
      <c r="H17" s="16">
        <v>-4017</v>
      </c>
      <c r="I17" s="16">
        <v>-9822</v>
      </c>
      <c r="J17" s="16">
        <v>-8806</v>
      </c>
      <c r="K17" s="16">
        <v>16567</v>
      </c>
      <c r="L17" s="16">
        <v>6734</v>
      </c>
    </row>
    <row r="18" spans="1:12" x14ac:dyDescent="0.75">
      <c r="A18" t="s">
        <v>80</v>
      </c>
      <c r="B18" s="16">
        <v>-299</v>
      </c>
      <c r="C18" s="16">
        <v>1403</v>
      </c>
      <c r="D18" s="16">
        <v>-350</v>
      </c>
      <c r="E18" s="16">
        <v>-2428</v>
      </c>
      <c r="F18" s="16">
        <v>1518</v>
      </c>
      <c r="G18" s="16">
        <v>98</v>
      </c>
      <c r="H18" s="16">
        <v>589</v>
      </c>
      <c r="I18" s="16">
        <v>68</v>
      </c>
      <c r="J18" s="16">
        <v>541</v>
      </c>
      <c r="K18" s="16">
        <v>1589</v>
      </c>
      <c r="L18" s="16">
        <v>-1051</v>
      </c>
    </row>
    <row r="19" spans="1:12" x14ac:dyDescent="0.75">
      <c r="A19" t="s">
        <v>81</v>
      </c>
      <c r="B19" s="16">
        <v>-13679</v>
      </c>
      <c r="C19" s="16">
        <v>-21055</v>
      </c>
      <c r="D19" s="16">
        <v>-23711</v>
      </c>
      <c r="E19" s="16">
        <v>-31165</v>
      </c>
      <c r="F19" s="16">
        <v>-31401</v>
      </c>
      <c r="G19" s="16">
        <v>-28504</v>
      </c>
      <c r="H19" s="16">
        <v>-29491</v>
      </c>
      <c r="I19" s="16">
        <v>-32773</v>
      </c>
      <c r="J19" s="16">
        <v>-35523</v>
      </c>
      <c r="K19" s="16">
        <v>-20298</v>
      </c>
      <c r="L19" s="16">
        <v>-27063</v>
      </c>
    </row>
    <row r="20" spans="1:12" x14ac:dyDescent="0.75">
      <c r="A20" t="s">
        <v>82</v>
      </c>
      <c r="B20" s="16">
        <v>-557</v>
      </c>
      <c r="C20" s="16">
        <v>-18</v>
      </c>
      <c r="D20" s="16">
        <v>-23</v>
      </c>
      <c r="E20" s="16">
        <v>-1335</v>
      </c>
      <c r="F20" s="16">
        <v>-86</v>
      </c>
      <c r="G20" s="16">
        <v>-61</v>
      </c>
      <c r="H20" s="16">
        <v>-268</v>
      </c>
      <c r="I20" s="16">
        <v>9661</v>
      </c>
      <c r="J20" s="16">
        <v>-1236</v>
      </c>
      <c r="K20" s="16">
        <v>-1196</v>
      </c>
      <c r="L20" s="16">
        <v>-760</v>
      </c>
    </row>
    <row r="21" spans="1:12" x14ac:dyDescent="0.75">
      <c r="A21" t="s">
        <v>93</v>
      </c>
    </row>
    <row r="22" spans="1:12" x14ac:dyDescent="0.75">
      <c r="A22" t="s">
        <v>94</v>
      </c>
      <c r="B22" s="16">
        <v>-557</v>
      </c>
      <c r="C22" s="16">
        <v>-18</v>
      </c>
      <c r="D22" s="16">
        <v>-23</v>
      </c>
      <c r="E22" s="16">
        <v>-1335</v>
      </c>
      <c r="F22" s="16">
        <v>-86</v>
      </c>
      <c r="G22" s="16">
        <v>-61</v>
      </c>
      <c r="H22" s="16">
        <v>-268</v>
      </c>
      <c r="I22" s="16">
        <v>9661</v>
      </c>
      <c r="J22" s="16">
        <v>-1236</v>
      </c>
      <c r="K22" s="16">
        <v>-1196</v>
      </c>
      <c r="L22" s="16">
        <v>-760</v>
      </c>
    </row>
    <row r="23" spans="1:12" x14ac:dyDescent="0.75">
      <c r="A23" t="s">
        <v>83</v>
      </c>
      <c r="D23" s="16">
        <v>-1780</v>
      </c>
      <c r="E23" s="16">
        <v>-3693</v>
      </c>
      <c r="F23" s="16">
        <v>-4046</v>
      </c>
      <c r="G23" s="16">
        <v>-8125</v>
      </c>
      <c r="H23" s="16">
        <v>-18176</v>
      </c>
      <c r="I23" s="16">
        <v>-28349</v>
      </c>
      <c r="J23" s="16">
        <v>-49964</v>
      </c>
      <c r="K23" s="16">
        <v>-59261</v>
      </c>
      <c r="L23" s="16">
        <v>-61496</v>
      </c>
    </row>
    <row r="24" spans="1:12" x14ac:dyDescent="0.75">
      <c r="A24" t="s">
        <v>84</v>
      </c>
      <c r="D24" s="16">
        <v>-1780</v>
      </c>
      <c r="E24" s="16">
        <v>-3693</v>
      </c>
      <c r="F24" s="16">
        <v>-4046</v>
      </c>
      <c r="G24" s="16">
        <v>-8125</v>
      </c>
      <c r="H24" s="16">
        <v>-18176</v>
      </c>
      <c r="I24" s="16">
        <v>-28349</v>
      </c>
      <c r="J24" s="16">
        <v>-49964</v>
      </c>
      <c r="K24" s="16">
        <v>-59261</v>
      </c>
      <c r="L24" s="16">
        <v>-61496</v>
      </c>
    </row>
    <row r="25" spans="1:12" x14ac:dyDescent="0.75">
      <c r="A25" t="s">
        <v>95</v>
      </c>
    </row>
    <row r="26" spans="1:12" x14ac:dyDescent="0.75">
      <c r="A26" t="s">
        <v>96</v>
      </c>
      <c r="B26" s="16">
        <v>-300</v>
      </c>
      <c r="C26" s="16">
        <v>-2069</v>
      </c>
      <c r="D26" s="16">
        <v>-2422</v>
      </c>
      <c r="E26" s="16">
        <v>-3304</v>
      </c>
      <c r="F26" s="16">
        <v>-4166</v>
      </c>
      <c r="G26" s="16">
        <v>-4993</v>
      </c>
      <c r="H26" s="16">
        <v>-4765</v>
      </c>
      <c r="I26" s="16">
        <v>-5720</v>
      </c>
      <c r="J26" t="s">
        <v>85</v>
      </c>
      <c r="K26" s="16">
        <v>-9300</v>
      </c>
      <c r="L26" s="16">
        <v>-9837</v>
      </c>
    </row>
    <row r="27" spans="1:12" x14ac:dyDescent="0.75">
      <c r="A27" t="s">
        <v>86</v>
      </c>
      <c r="B27" s="16">
        <v>-857</v>
      </c>
      <c r="C27" s="16">
        <v>-2087</v>
      </c>
      <c r="D27" s="16">
        <v>4225</v>
      </c>
      <c r="E27" s="16">
        <v>-8332</v>
      </c>
      <c r="F27" s="16">
        <v>-8298</v>
      </c>
      <c r="G27" s="16">
        <v>-13179</v>
      </c>
      <c r="H27" s="16">
        <v>-23209</v>
      </c>
      <c r="I27" s="16">
        <v>-24408</v>
      </c>
      <c r="J27" s="16">
        <v>-61362</v>
      </c>
      <c r="K27" s="16">
        <v>-69757</v>
      </c>
      <c r="L27" s="16">
        <v>-72093</v>
      </c>
    </row>
    <row r="28" spans="1:12" x14ac:dyDescent="0.75">
      <c r="A28" t="s">
        <v>87</v>
      </c>
      <c r="B28" s="16">
        <v>4120</v>
      </c>
      <c r="C28" s="16">
        <v>-551</v>
      </c>
      <c r="D28" s="16">
        <v>-1798</v>
      </c>
      <c r="E28" s="16">
        <v>-3631</v>
      </c>
      <c r="F28" s="16">
        <v>-2203</v>
      </c>
      <c r="G28" s="16">
        <v>5986</v>
      </c>
      <c r="H28" s="16">
        <v>1797</v>
      </c>
      <c r="I28" s="16">
        <v>7967</v>
      </c>
      <c r="J28" s="16">
        <v>-5520</v>
      </c>
      <c r="K28" s="16">
        <v>934</v>
      </c>
      <c r="L28" s="16">
        <v>2169</v>
      </c>
    </row>
    <row r="29" spans="1:12" x14ac:dyDescent="0.75">
      <c r="A29" t="s">
        <v>88</v>
      </c>
      <c r="B29" s="16">
        <v>3343</v>
      </c>
      <c r="C29" s="16">
        <v>4279</v>
      </c>
      <c r="D29" s="16">
        <v>5203</v>
      </c>
      <c r="E29" s="16">
        <v>6703</v>
      </c>
      <c r="F29" s="16">
        <v>7679</v>
      </c>
      <c r="G29" s="16">
        <v>9353</v>
      </c>
      <c r="H29" s="16">
        <v>10794</v>
      </c>
      <c r="I29" s="16">
        <v>12991</v>
      </c>
      <c r="J29" s="16">
        <v>15376</v>
      </c>
      <c r="K29" s="16">
        <v>19362</v>
      </c>
      <c r="L29" s="16">
        <v>22460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DCF</vt:lpstr>
      <vt:lpstr>wacc</vt:lpstr>
      <vt:lpstr>Income Statements</vt:lpstr>
      <vt:lpstr>Balance Sheet</vt:lpstr>
      <vt:lpstr>CashFlow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 Paudel</dc:creator>
  <cp:lastModifiedBy>Anup Paudel</cp:lastModifiedBy>
  <dcterms:created xsi:type="dcterms:W3CDTF">2024-05-17T15:29:36Z</dcterms:created>
  <dcterms:modified xsi:type="dcterms:W3CDTF">2024-05-18T11:30:14Z</dcterms:modified>
</cp:coreProperties>
</file>